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ory Curl\Dropbox\Early Childhood Care Cost Project\Models and Documentation\Preschool\"/>
    </mc:Choice>
  </mc:AlternateContent>
  <workbookProtection workbookPassword="CF6E" lockStructure="1"/>
  <bookViews>
    <workbookView xWindow="0" yWindow="0" windowWidth="23040" windowHeight="9228" tabRatio="837" firstSheet="1" activeTab="2"/>
  </bookViews>
  <sheets>
    <sheet name="Cover Sheet" sheetId="14" r:id="rId1"/>
    <sheet name="A. Summary Outputs &amp; Index" sheetId="13" r:id="rId2"/>
    <sheet name="B. Implementation Plan" sheetId="5" r:id="rId3"/>
    <sheet name="C. Demographic Tables" sheetId="9" r:id="rId4"/>
    <sheet name="D. Annual Schedule Tables" sheetId="6" r:id="rId5"/>
    <sheet name="E. State-Level Infrastr&amp;Support" sheetId="10" r:id="rId6"/>
    <sheet name="F. Provider-Level Services" sheetId="11" r:id="rId7"/>
    <sheet name="Blank Worksheet" sheetId="15" r:id="rId8"/>
  </sheets>
  <definedNames>
    <definedName name="_xlnm.Print_Area" localSheetId="1">'A. Summary Outputs &amp; Index'!$A$2:$P$64</definedName>
    <definedName name="_xlnm.Print_Area" localSheetId="2">'B. Implementation Plan'!$A$3:$P$495</definedName>
    <definedName name="_xlnm.Print_Area" localSheetId="4">'D. Annual Schedule Tables'!$A$2:$P$790</definedName>
    <definedName name="_xlnm.Print_Area" localSheetId="5">'E. State-Level Infrastr&amp;Support'!$A$2:$P$37</definedName>
    <definedName name="_xlnm.Print_Titles" localSheetId="2">'B. Implementation Plan'!$3:$6</definedName>
    <definedName name="TableB1">'B. Implementation Plan'!$A$7</definedName>
    <definedName name="TableB2.a.1">'B. Implementation Plan'!$A$20:$A$45</definedName>
    <definedName name="TableB2.a.2">'B. Implementation Plan'!$A$47:$A$70</definedName>
    <definedName name="TableB2.b">'B. Implementation Plan'!$A$72</definedName>
    <definedName name="TableB2.b.1">'B. Implementation Plan'!$A$74:$A$79</definedName>
    <definedName name="TableB2.b.10">'B. Implementation Plan'!$A$231:$A$242</definedName>
    <definedName name="TableB2.b.2">'B. Implementation Plan'!$A$81:$A$91</definedName>
    <definedName name="TableB2.b.3">'B. Implementation Plan'!$A$93:$A$104</definedName>
    <definedName name="TableB2.b.4">'B. Implementation Plan'!$A$106:$A$128</definedName>
    <definedName name="TableB2.b.5">'B. Implementation Plan'!$A$130:$A$164</definedName>
    <definedName name="TableB2.b.6">'B. Implementation Plan'!$A$166:$A$186</definedName>
    <definedName name="TableB2.b.7">'B. Implementation Plan'!$A$188:$A$209</definedName>
    <definedName name="TableB2.b.8">'B. Implementation Plan'!$A$211:$A$220</definedName>
    <definedName name="TableB2.b.9">'B. Implementation Plan'!$A$222:$A$229</definedName>
    <definedName name="TableB2.c">'B. Implementation Plan'!$A$244</definedName>
    <definedName name="TableB2.c.1">'B. Implementation Plan'!$A$246:$A$248</definedName>
    <definedName name="TableB2.c.10">'B. Implementation Plan'!$A$338:$A$344</definedName>
    <definedName name="TableB2.c.2">'B. Implementation Plan'!$A$250:$A$260</definedName>
    <definedName name="TableB2.c.3">'B. Implementation Plan'!$A$262:$A$278</definedName>
    <definedName name="TableB2.c.4">'B. Implementation Plan'!$A$280:$A$295</definedName>
    <definedName name="TableB2.c.5">'B. Implementation Plan'!$A$297:$A$301</definedName>
    <definedName name="TableB2.c.6">'B. Implementation Plan'!$A$303:$A$307</definedName>
    <definedName name="TableB2.c.7">'B. Implementation Plan'!$A$309:$A$318</definedName>
    <definedName name="TableB2.c.8">'B. Implementation Plan'!$A$320:$A$328</definedName>
    <definedName name="TableB2.c.9">'B. Implementation Plan'!$A$330:$A$336</definedName>
    <definedName name="TableB2.d">'B. Implementation Plan'!$A$346</definedName>
    <definedName name="TableB2.d.1">'B. Implementation Plan'!$A$348:$A$424</definedName>
    <definedName name="TableB2.d.2">'B. Implementation Plan'!$A$426:$A$458</definedName>
    <definedName name="TableB2.d.3">'B. Implementation Plan'!$A$460:$A$488</definedName>
    <definedName name="TableB2.d.4">'B. Implementation Plan'!$A$490:$A$494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K384" i="5" l="1"/>
  <c r="H379" i="5"/>
  <c r="P378" i="5"/>
  <c r="K379" i="5"/>
  <c r="L379" i="5"/>
  <c r="F379" i="5"/>
  <c r="M379" i="5"/>
  <c r="P379" i="5"/>
  <c r="P380" i="5"/>
  <c r="D379" i="5"/>
  <c r="P5" i="5"/>
  <c r="F375" i="5"/>
  <c r="F378" i="5"/>
  <c r="H378" i="5"/>
  <c r="K378" i="5"/>
  <c r="E352" i="5"/>
  <c r="L378" i="5"/>
  <c r="M378" i="5"/>
  <c r="D378" i="5"/>
  <c r="K382" i="5"/>
  <c r="L382" i="5"/>
  <c r="K375" i="5"/>
  <c r="L375" i="5"/>
  <c r="M375" i="5"/>
  <c r="K376" i="5"/>
  <c r="L376" i="5"/>
  <c r="F376" i="5"/>
  <c r="M376" i="5"/>
  <c r="K377" i="5"/>
  <c r="L377" i="5"/>
  <c r="F377" i="5"/>
  <c r="M377" i="5"/>
  <c r="K380" i="5"/>
  <c r="L380" i="5"/>
  <c r="M380" i="5"/>
  <c r="M381" i="5"/>
  <c r="L381" i="5"/>
  <c r="O8" i="6"/>
  <c r="O12" i="6"/>
  <c r="O16" i="6"/>
  <c r="O21" i="6"/>
  <c r="P21" i="6"/>
  <c r="O9" i="6"/>
  <c r="O13" i="6"/>
  <c r="O17" i="6"/>
  <c r="O22" i="6"/>
  <c r="N9" i="6"/>
  <c r="N13" i="6"/>
  <c r="N17" i="6"/>
  <c r="N22" i="6"/>
  <c r="M9" i="6"/>
  <c r="M13" i="6"/>
  <c r="M17" i="6"/>
  <c r="M22" i="6"/>
  <c r="L9" i="6"/>
  <c r="L13" i="6"/>
  <c r="L17" i="6"/>
  <c r="L22" i="6"/>
  <c r="K9" i="6"/>
  <c r="K13" i="6"/>
  <c r="K17" i="6"/>
  <c r="K22" i="6"/>
  <c r="J9" i="6"/>
  <c r="J13" i="6"/>
  <c r="J17" i="6"/>
  <c r="J22" i="6"/>
  <c r="I9" i="6"/>
  <c r="I13" i="6"/>
  <c r="I17" i="6"/>
  <c r="I22" i="6"/>
  <c r="H9" i="6"/>
  <c r="H13" i="6"/>
  <c r="H17" i="6"/>
  <c r="H22" i="6"/>
  <c r="G9" i="6"/>
  <c r="G13" i="6"/>
  <c r="G17" i="6"/>
  <c r="G22" i="6"/>
  <c r="F9" i="6"/>
  <c r="F13" i="6"/>
  <c r="F17" i="6"/>
  <c r="F22" i="6"/>
  <c r="E9" i="6"/>
  <c r="E13" i="6"/>
  <c r="E17" i="6"/>
  <c r="E22" i="6"/>
  <c r="P22" i="6"/>
  <c r="O10" i="6"/>
  <c r="O14" i="6"/>
  <c r="O18" i="6"/>
  <c r="O23" i="6"/>
  <c r="N10" i="6"/>
  <c r="N14" i="6"/>
  <c r="N18" i="6"/>
  <c r="N23" i="6"/>
  <c r="M10" i="6"/>
  <c r="M14" i="6"/>
  <c r="M18" i="6"/>
  <c r="M23" i="6"/>
  <c r="L10" i="6"/>
  <c r="L14" i="6"/>
  <c r="L18" i="6"/>
  <c r="L23" i="6"/>
  <c r="K10" i="6"/>
  <c r="K14" i="6"/>
  <c r="K18" i="6"/>
  <c r="K23" i="6"/>
  <c r="J10" i="6"/>
  <c r="J14" i="6"/>
  <c r="J18" i="6"/>
  <c r="J23" i="6"/>
  <c r="I10" i="6"/>
  <c r="I14" i="6"/>
  <c r="I18" i="6"/>
  <c r="I23" i="6"/>
  <c r="H10" i="6"/>
  <c r="H14" i="6"/>
  <c r="H18" i="6"/>
  <c r="H23" i="6"/>
  <c r="G10" i="6"/>
  <c r="G14" i="6"/>
  <c r="G18" i="6"/>
  <c r="G23" i="6"/>
  <c r="F10" i="6"/>
  <c r="F14" i="6"/>
  <c r="F18" i="6"/>
  <c r="F23" i="6"/>
  <c r="E10" i="6"/>
  <c r="E14" i="6"/>
  <c r="E18" i="6"/>
  <c r="E23" i="6"/>
  <c r="P23" i="6"/>
  <c r="O11" i="6"/>
  <c r="O15" i="6"/>
  <c r="O19" i="6"/>
  <c r="O20" i="6"/>
  <c r="P20" i="6"/>
  <c r="M225" i="5"/>
  <c r="P43" i="5"/>
  <c r="E429" i="5"/>
  <c r="N225" i="5"/>
  <c r="P44" i="5"/>
  <c r="F429" i="5"/>
  <c r="O225" i="5"/>
  <c r="P45" i="5"/>
  <c r="G429" i="5"/>
  <c r="P429" i="5"/>
  <c r="M226" i="5"/>
  <c r="E430" i="5"/>
  <c r="N226" i="5"/>
  <c r="F430" i="5"/>
  <c r="O226" i="5"/>
  <c r="G430" i="5"/>
  <c r="P430" i="5"/>
  <c r="P252" i="5"/>
  <c r="P248" i="5"/>
  <c r="O257" i="5"/>
  <c r="O12" i="10"/>
  <c r="E85" i="5"/>
  <c r="O58" i="6"/>
  <c r="O96" i="6"/>
  <c r="O59" i="6"/>
  <c r="O97" i="6"/>
  <c r="O60" i="6"/>
  <c r="O98" i="6"/>
  <c r="O99" i="6"/>
  <c r="O160" i="6"/>
  <c r="O178" i="6"/>
  <c r="O194" i="6"/>
  <c r="O210" i="6"/>
  <c r="O226" i="6"/>
  <c r="O233" i="6"/>
  <c r="O62" i="6"/>
  <c r="O100" i="6"/>
  <c r="O63" i="6"/>
  <c r="O101" i="6"/>
  <c r="O64" i="6"/>
  <c r="O102" i="6"/>
  <c r="O103" i="6"/>
  <c r="O239" i="6"/>
  <c r="P148" i="5"/>
  <c r="O242" i="6"/>
  <c r="P155" i="5"/>
  <c r="P147" i="5"/>
  <c r="O247" i="6"/>
  <c r="N242" i="6"/>
  <c r="O248" i="6"/>
  <c r="M242" i="6"/>
  <c r="O249" i="6"/>
  <c r="O250" i="6"/>
  <c r="O251" i="6"/>
  <c r="O252" i="6"/>
  <c r="O253" i="6"/>
  <c r="O254" i="6"/>
  <c r="O255" i="6"/>
  <c r="O256" i="6"/>
  <c r="O257" i="6"/>
  <c r="P156" i="5"/>
  <c r="F144" i="5"/>
  <c r="O263" i="6"/>
  <c r="O264" i="6"/>
  <c r="O265" i="6"/>
  <c r="L242" i="6"/>
  <c r="O266" i="6"/>
  <c r="K242" i="6"/>
  <c r="O267" i="6"/>
  <c r="J242" i="6"/>
  <c r="O268" i="6"/>
  <c r="O269" i="6"/>
  <c r="O270" i="6"/>
  <c r="O271" i="6"/>
  <c r="O272" i="6"/>
  <c r="O273" i="6"/>
  <c r="E12" i="6"/>
  <c r="E62" i="6"/>
  <c r="E100" i="6"/>
  <c r="E63" i="6"/>
  <c r="E101" i="6"/>
  <c r="E64" i="6"/>
  <c r="E102" i="6"/>
  <c r="E103" i="6"/>
  <c r="F133" i="5"/>
  <c r="O241" i="6"/>
  <c r="O243" i="6"/>
  <c r="N12" i="6"/>
  <c r="N62" i="6"/>
  <c r="N100" i="6"/>
  <c r="N63" i="6"/>
  <c r="N101" i="6"/>
  <c r="N64" i="6"/>
  <c r="N102" i="6"/>
  <c r="N103" i="6"/>
  <c r="N239" i="6"/>
  <c r="N241" i="6"/>
  <c r="N243" i="6"/>
  <c r="O244" i="6"/>
  <c r="P149" i="5"/>
  <c r="P152" i="5"/>
  <c r="P153" i="5"/>
  <c r="O279" i="6"/>
  <c r="M12" i="6"/>
  <c r="M62" i="6"/>
  <c r="M100" i="6"/>
  <c r="M63" i="6"/>
  <c r="M101" i="6"/>
  <c r="M64" i="6"/>
  <c r="M102" i="6"/>
  <c r="M103" i="6"/>
  <c r="M239" i="6"/>
  <c r="M241" i="6"/>
  <c r="M243" i="6"/>
  <c r="N244" i="6"/>
  <c r="O280" i="6"/>
  <c r="L12" i="6"/>
  <c r="L62" i="6"/>
  <c r="L100" i="6"/>
  <c r="L63" i="6"/>
  <c r="L101" i="6"/>
  <c r="L64" i="6"/>
  <c r="L102" i="6"/>
  <c r="L103" i="6"/>
  <c r="L239" i="6"/>
  <c r="L241" i="6"/>
  <c r="L243" i="6"/>
  <c r="M244" i="6"/>
  <c r="O281" i="6"/>
  <c r="O282" i="6"/>
  <c r="O283" i="6"/>
  <c r="O284" i="6"/>
  <c r="O285" i="6"/>
  <c r="O286" i="6"/>
  <c r="O287" i="6"/>
  <c r="O288" i="6"/>
  <c r="O289" i="6"/>
  <c r="E154" i="5"/>
  <c r="P154" i="5"/>
  <c r="O295" i="6"/>
  <c r="O296" i="6"/>
  <c r="O297" i="6"/>
  <c r="K12" i="6"/>
  <c r="K62" i="6"/>
  <c r="K100" i="6"/>
  <c r="K63" i="6"/>
  <c r="K101" i="6"/>
  <c r="K64" i="6"/>
  <c r="K102" i="6"/>
  <c r="K103" i="6"/>
  <c r="K239" i="6"/>
  <c r="K241" i="6"/>
  <c r="K243" i="6"/>
  <c r="L244" i="6"/>
  <c r="O298" i="6"/>
  <c r="J12" i="6"/>
  <c r="J62" i="6"/>
  <c r="J100" i="6"/>
  <c r="J63" i="6"/>
  <c r="J101" i="6"/>
  <c r="J64" i="6"/>
  <c r="J102" i="6"/>
  <c r="J103" i="6"/>
  <c r="J239" i="6"/>
  <c r="J241" i="6"/>
  <c r="J243" i="6"/>
  <c r="K244" i="6"/>
  <c r="O299" i="6"/>
  <c r="I12" i="6"/>
  <c r="I62" i="6"/>
  <c r="I100" i="6"/>
  <c r="I63" i="6"/>
  <c r="I101" i="6"/>
  <c r="I64" i="6"/>
  <c r="I102" i="6"/>
  <c r="I103" i="6"/>
  <c r="I239" i="6"/>
  <c r="I241" i="6"/>
  <c r="I243" i="6"/>
  <c r="J244" i="6"/>
  <c r="O300" i="6"/>
  <c r="O301" i="6"/>
  <c r="O302" i="6"/>
  <c r="O303" i="6"/>
  <c r="O304" i="6"/>
  <c r="O305" i="6"/>
  <c r="O312" i="6"/>
  <c r="O66" i="6"/>
  <c r="O104" i="6"/>
  <c r="O67" i="6"/>
  <c r="O105" i="6"/>
  <c r="O68" i="6"/>
  <c r="O106" i="6"/>
  <c r="O107" i="6"/>
  <c r="O318" i="6"/>
  <c r="O336" i="6"/>
  <c r="O352" i="6"/>
  <c r="O368" i="6"/>
  <c r="O384" i="6"/>
  <c r="O391" i="6"/>
  <c r="O679" i="6"/>
  <c r="E9" i="10"/>
  <c r="O14" i="10"/>
  <c r="O397" i="6"/>
  <c r="O415" i="6"/>
  <c r="O431" i="6"/>
  <c r="O438" i="6"/>
  <c r="O444" i="6"/>
  <c r="P177" i="5"/>
  <c r="O452" i="6"/>
  <c r="O453" i="6"/>
  <c r="O454" i="6"/>
  <c r="O455" i="6"/>
  <c r="O456" i="6"/>
  <c r="O457" i="6"/>
  <c r="O458" i="6"/>
  <c r="O459" i="6"/>
  <c r="O460" i="6"/>
  <c r="O461" i="6"/>
  <c r="O462" i="6"/>
  <c r="O468" i="6"/>
  <c r="O469" i="6"/>
  <c r="O470" i="6"/>
  <c r="O471" i="6"/>
  <c r="O472" i="6"/>
  <c r="O473" i="6"/>
  <c r="O474" i="6"/>
  <c r="O475" i="6"/>
  <c r="O476" i="6"/>
  <c r="O477" i="6"/>
  <c r="O478" i="6"/>
  <c r="O485" i="6"/>
  <c r="O491" i="6"/>
  <c r="O509" i="6"/>
  <c r="O525" i="6"/>
  <c r="O532" i="6"/>
  <c r="O681" i="6"/>
  <c r="O15" i="10"/>
  <c r="O115" i="6"/>
  <c r="O116" i="6"/>
  <c r="O117" i="6"/>
  <c r="O118" i="6"/>
  <c r="O538" i="6"/>
  <c r="O556" i="6"/>
  <c r="O572" i="6"/>
  <c r="O579" i="6"/>
  <c r="O119" i="6"/>
  <c r="O120" i="6"/>
  <c r="O121" i="6"/>
  <c r="O122" i="6"/>
  <c r="O585" i="6"/>
  <c r="P197" i="5"/>
  <c r="O588" i="6"/>
  <c r="P201" i="5"/>
  <c r="P198" i="5"/>
  <c r="O593" i="6"/>
  <c r="N588" i="6"/>
  <c r="O594" i="6"/>
  <c r="O595" i="6"/>
  <c r="O596" i="6"/>
  <c r="O597" i="6"/>
  <c r="O598" i="6"/>
  <c r="O599" i="6"/>
  <c r="O600" i="6"/>
  <c r="O601" i="6"/>
  <c r="O602" i="6"/>
  <c r="O603" i="6"/>
  <c r="E119" i="6"/>
  <c r="E120" i="6"/>
  <c r="E121" i="6"/>
  <c r="E122" i="6"/>
  <c r="F191" i="5"/>
  <c r="O587" i="6"/>
  <c r="O589" i="6"/>
  <c r="N119" i="6"/>
  <c r="N120" i="6"/>
  <c r="N121" i="6"/>
  <c r="N122" i="6"/>
  <c r="N585" i="6"/>
  <c r="N587" i="6"/>
  <c r="N589" i="6"/>
  <c r="O590" i="6"/>
  <c r="P199" i="5"/>
  <c r="P200" i="5"/>
  <c r="O609" i="6"/>
  <c r="M119" i="6"/>
  <c r="M120" i="6"/>
  <c r="M121" i="6"/>
  <c r="M122" i="6"/>
  <c r="M585" i="6"/>
  <c r="M587" i="6"/>
  <c r="M589" i="6"/>
  <c r="N590" i="6"/>
  <c r="O610" i="6"/>
  <c r="O611" i="6"/>
  <c r="O612" i="6"/>
  <c r="O613" i="6"/>
  <c r="O614" i="6"/>
  <c r="O615" i="6"/>
  <c r="O616" i="6"/>
  <c r="O617" i="6"/>
  <c r="O618" i="6"/>
  <c r="O619" i="6"/>
  <c r="O626" i="6"/>
  <c r="O123" i="6"/>
  <c r="O124" i="6"/>
  <c r="O125" i="6"/>
  <c r="O126" i="6"/>
  <c r="O632" i="6"/>
  <c r="O650" i="6"/>
  <c r="O666" i="6"/>
  <c r="O673" i="6"/>
  <c r="O683" i="6"/>
  <c r="O16" i="10"/>
  <c r="O77" i="6"/>
  <c r="O78" i="6"/>
  <c r="O79" i="6"/>
  <c r="O80" i="6"/>
  <c r="O134" i="6"/>
  <c r="O113" i="5"/>
  <c r="O153" i="6"/>
  <c r="O81" i="6"/>
  <c r="O82" i="6"/>
  <c r="O83" i="6"/>
  <c r="O84" i="6"/>
  <c r="O135" i="6"/>
  <c r="O114" i="5"/>
  <c r="O154" i="6"/>
  <c r="O85" i="6"/>
  <c r="O86" i="6"/>
  <c r="O87" i="6"/>
  <c r="O88" i="6"/>
  <c r="O136" i="6"/>
  <c r="O115" i="5"/>
  <c r="O155" i="6"/>
  <c r="O156" i="6"/>
  <c r="O17" i="10"/>
  <c r="N8" i="6"/>
  <c r="N58" i="6"/>
  <c r="N77" i="6"/>
  <c r="N59" i="6"/>
  <c r="N78" i="6"/>
  <c r="N60" i="6"/>
  <c r="N79" i="6"/>
  <c r="N80" i="6"/>
  <c r="N81" i="6"/>
  <c r="N82" i="6"/>
  <c r="N83" i="6"/>
  <c r="N84" i="6"/>
  <c r="N16" i="6"/>
  <c r="N66" i="6"/>
  <c r="N85" i="6"/>
  <c r="N67" i="6"/>
  <c r="N86" i="6"/>
  <c r="N68" i="6"/>
  <c r="N87" i="6"/>
  <c r="N88" i="6"/>
  <c r="N89" i="6"/>
  <c r="N740" i="6"/>
  <c r="N741" i="6"/>
  <c r="N742" i="6"/>
  <c r="O89" i="6"/>
  <c r="O740" i="6"/>
  <c r="O741" i="6"/>
  <c r="O742" i="6"/>
  <c r="O745" i="6"/>
  <c r="N743" i="6"/>
  <c r="O743" i="6"/>
  <c r="O746" i="6"/>
  <c r="N744" i="6"/>
  <c r="O744" i="6"/>
  <c r="O747" i="6"/>
  <c r="O748" i="6"/>
  <c r="O18" i="10"/>
  <c r="O752" i="6"/>
  <c r="O753" i="6"/>
  <c r="O754" i="6"/>
  <c r="O756" i="6"/>
  <c r="O758" i="6"/>
  <c r="O760" i="6"/>
  <c r="O761" i="6"/>
  <c r="O763" i="6"/>
  <c r="O765" i="6"/>
  <c r="O767" i="6"/>
  <c r="O768" i="6"/>
  <c r="O770" i="6"/>
  <c r="O772" i="6"/>
  <c r="O774" i="6"/>
  <c r="O775" i="6"/>
  <c r="O777" i="6"/>
  <c r="O779" i="6"/>
  <c r="O19" i="10"/>
  <c r="O79" i="5"/>
  <c r="O13" i="10"/>
  <c r="O20" i="10"/>
  <c r="O21" i="10"/>
  <c r="O22" i="10"/>
  <c r="O23" i="10"/>
  <c r="O24" i="10"/>
  <c r="O25" i="10"/>
  <c r="O26" i="10"/>
  <c r="O27" i="10"/>
  <c r="O28" i="10"/>
  <c r="N752" i="6"/>
  <c r="N753" i="6"/>
  <c r="N754" i="6"/>
  <c r="N756" i="6"/>
  <c r="O757" i="6"/>
  <c r="O755" i="6"/>
  <c r="O759" i="6"/>
  <c r="O764" i="6"/>
  <c r="O762" i="6"/>
  <c r="O766" i="6"/>
  <c r="O771" i="6"/>
  <c r="O769" i="6"/>
  <c r="O773" i="6"/>
  <c r="O778" i="6"/>
  <c r="O776" i="6"/>
  <c r="O780" i="6"/>
  <c r="O29" i="10"/>
  <c r="O30" i="10"/>
  <c r="O31" i="10"/>
  <c r="N134" i="6"/>
  <c r="O787" i="6"/>
  <c r="N135" i="6"/>
  <c r="O788" i="6"/>
  <c r="N136" i="6"/>
  <c r="O789" i="6"/>
  <c r="O32" i="10"/>
  <c r="O327" i="5"/>
  <c r="O33" i="10"/>
  <c r="O34" i="10"/>
  <c r="O35" i="10"/>
  <c r="O36" i="10"/>
  <c r="O37" i="10"/>
  <c r="O10" i="5"/>
  <c r="O162" i="6"/>
  <c r="O231" i="6"/>
  <c r="O181" i="6"/>
  <c r="O197" i="6"/>
  <c r="O213" i="6"/>
  <c r="O229" i="6"/>
  <c r="O234" i="6"/>
  <c r="O688" i="6"/>
  <c r="O25" i="11"/>
  <c r="O41" i="11"/>
  <c r="O46" i="11"/>
  <c r="E8" i="6"/>
  <c r="E58" i="6"/>
  <c r="E77" i="6"/>
  <c r="E59" i="6"/>
  <c r="E78" i="6"/>
  <c r="E60" i="6"/>
  <c r="E79" i="6"/>
  <c r="E80" i="6"/>
  <c r="E81" i="6"/>
  <c r="E82" i="6"/>
  <c r="E83" i="6"/>
  <c r="E84" i="6"/>
  <c r="E16" i="6"/>
  <c r="E66" i="6"/>
  <c r="E85" i="6"/>
  <c r="E67" i="6"/>
  <c r="E86" i="6"/>
  <c r="E68" i="6"/>
  <c r="E87" i="6"/>
  <c r="E88" i="6"/>
  <c r="E89" i="6"/>
  <c r="E275" i="5"/>
  <c r="H8" i="6"/>
  <c r="H11" i="6"/>
  <c r="H12" i="6"/>
  <c r="H15" i="6"/>
  <c r="H16" i="6"/>
  <c r="H19" i="6"/>
  <c r="H20" i="6"/>
  <c r="H257" i="5"/>
  <c r="H12" i="10"/>
  <c r="H58" i="6"/>
  <c r="H96" i="6"/>
  <c r="H59" i="6"/>
  <c r="H97" i="6"/>
  <c r="H60" i="6"/>
  <c r="H98" i="6"/>
  <c r="H99" i="6"/>
  <c r="H160" i="6"/>
  <c r="H178" i="6"/>
  <c r="H194" i="6"/>
  <c r="H210" i="6"/>
  <c r="H226" i="6"/>
  <c r="H233" i="6"/>
  <c r="H62" i="6"/>
  <c r="H100" i="6"/>
  <c r="H63" i="6"/>
  <c r="H101" i="6"/>
  <c r="H64" i="6"/>
  <c r="H102" i="6"/>
  <c r="H103" i="6"/>
  <c r="H239" i="6"/>
  <c r="H242" i="6"/>
  <c r="H247" i="6"/>
  <c r="G242" i="6"/>
  <c r="H248" i="6"/>
  <c r="F242" i="6"/>
  <c r="H249" i="6"/>
  <c r="H257" i="6"/>
  <c r="H263" i="6"/>
  <c r="H264" i="6"/>
  <c r="H265" i="6"/>
  <c r="H273" i="6"/>
  <c r="H241" i="6"/>
  <c r="H243" i="6"/>
  <c r="G12" i="6"/>
  <c r="G62" i="6"/>
  <c r="G100" i="6"/>
  <c r="G63" i="6"/>
  <c r="G101" i="6"/>
  <c r="G64" i="6"/>
  <c r="G102" i="6"/>
  <c r="G103" i="6"/>
  <c r="G239" i="6"/>
  <c r="G241" i="6"/>
  <c r="G243" i="6"/>
  <c r="H244" i="6"/>
  <c r="H279" i="6"/>
  <c r="F12" i="6"/>
  <c r="F62" i="6"/>
  <c r="F100" i="6"/>
  <c r="F63" i="6"/>
  <c r="F101" i="6"/>
  <c r="F64" i="6"/>
  <c r="F102" i="6"/>
  <c r="F103" i="6"/>
  <c r="F239" i="6"/>
  <c r="F241" i="6"/>
  <c r="F243" i="6"/>
  <c r="G244" i="6"/>
  <c r="H280" i="6"/>
  <c r="E239" i="6"/>
  <c r="E241" i="6"/>
  <c r="E243" i="6"/>
  <c r="E244" i="6"/>
  <c r="F244" i="6"/>
  <c r="H281" i="6"/>
  <c r="H289" i="6"/>
  <c r="H295" i="6"/>
  <c r="H296" i="6"/>
  <c r="H297" i="6"/>
  <c r="H305" i="6"/>
  <c r="H312" i="6"/>
  <c r="H66" i="6"/>
  <c r="H104" i="6"/>
  <c r="H67" i="6"/>
  <c r="H105" i="6"/>
  <c r="H68" i="6"/>
  <c r="H106" i="6"/>
  <c r="H107" i="6"/>
  <c r="H318" i="6"/>
  <c r="H336" i="6"/>
  <c r="H352" i="6"/>
  <c r="H368" i="6"/>
  <c r="H384" i="6"/>
  <c r="H391" i="6"/>
  <c r="H679" i="6"/>
  <c r="H14" i="10"/>
  <c r="H397" i="6"/>
  <c r="H415" i="6"/>
  <c r="H431" i="6"/>
  <c r="H438" i="6"/>
  <c r="H444" i="6"/>
  <c r="H452" i="6"/>
  <c r="H453" i="6"/>
  <c r="H454" i="6"/>
  <c r="H462" i="6"/>
  <c r="H468" i="6"/>
  <c r="H469" i="6"/>
  <c r="H470" i="6"/>
  <c r="H478" i="6"/>
  <c r="H485" i="6"/>
  <c r="H491" i="6"/>
  <c r="H509" i="6"/>
  <c r="H525" i="6"/>
  <c r="H532" i="6"/>
  <c r="H681" i="6"/>
  <c r="H15" i="10"/>
  <c r="H115" i="6"/>
  <c r="H116" i="6"/>
  <c r="H117" i="6"/>
  <c r="H118" i="6"/>
  <c r="H538" i="6"/>
  <c r="H556" i="6"/>
  <c r="H572" i="6"/>
  <c r="H579" i="6"/>
  <c r="H119" i="6"/>
  <c r="H120" i="6"/>
  <c r="H121" i="6"/>
  <c r="H122" i="6"/>
  <c r="H585" i="6"/>
  <c r="H588" i="6"/>
  <c r="H593" i="6"/>
  <c r="G588" i="6"/>
  <c r="H594" i="6"/>
  <c r="H595" i="6"/>
  <c r="H603" i="6"/>
  <c r="H587" i="6"/>
  <c r="H589" i="6"/>
  <c r="G119" i="6"/>
  <c r="G120" i="6"/>
  <c r="G121" i="6"/>
  <c r="G122" i="6"/>
  <c r="G585" i="6"/>
  <c r="G587" i="6"/>
  <c r="G589" i="6"/>
  <c r="H590" i="6"/>
  <c r="H609" i="6"/>
  <c r="F119" i="6"/>
  <c r="F120" i="6"/>
  <c r="F121" i="6"/>
  <c r="F122" i="6"/>
  <c r="F585" i="6"/>
  <c r="F587" i="6"/>
  <c r="F589" i="6"/>
  <c r="G590" i="6"/>
  <c r="H610" i="6"/>
  <c r="H611" i="6"/>
  <c r="H619" i="6"/>
  <c r="H626" i="6"/>
  <c r="H123" i="6"/>
  <c r="H124" i="6"/>
  <c r="H125" i="6"/>
  <c r="H126" i="6"/>
  <c r="H632" i="6"/>
  <c r="H650" i="6"/>
  <c r="H666" i="6"/>
  <c r="H673" i="6"/>
  <c r="H683" i="6"/>
  <c r="H16" i="10"/>
  <c r="H77" i="6"/>
  <c r="H78" i="6"/>
  <c r="H79" i="6"/>
  <c r="H80" i="6"/>
  <c r="H134" i="6"/>
  <c r="H113" i="5"/>
  <c r="H153" i="6"/>
  <c r="H81" i="6"/>
  <c r="H82" i="6"/>
  <c r="H83" i="6"/>
  <c r="H84" i="6"/>
  <c r="H135" i="6"/>
  <c r="H114" i="5"/>
  <c r="H154" i="6"/>
  <c r="H85" i="6"/>
  <c r="H86" i="6"/>
  <c r="H87" i="6"/>
  <c r="H88" i="6"/>
  <c r="H136" i="6"/>
  <c r="H115" i="5"/>
  <c r="H155" i="6"/>
  <c r="H156" i="6"/>
  <c r="H17" i="10"/>
  <c r="H89" i="6"/>
  <c r="H752" i="6"/>
  <c r="H753" i="6"/>
  <c r="H754" i="6"/>
  <c r="H756" i="6"/>
  <c r="H758" i="6"/>
  <c r="H760" i="6"/>
  <c r="H761" i="6"/>
  <c r="H763" i="6"/>
  <c r="H765" i="6"/>
  <c r="H767" i="6"/>
  <c r="H768" i="6"/>
  <c r="H770" i="6"/>
  <c r="H772" i="6"/>
  <c r="H774" i="6"/>
  <c r="H775" i="6"/>
  <c r="H777" i="6"/>
  <c r="H779" i="6"/>
  <c r="H19" i="10"/>
  <c r="H740" i="6"/>
  <c r="H741" i="6"/>
  <c r="H742" i="6"/>
  <c r="G8" i="6"/>
  <c r="G58" i="6"/>
  <c r="G77" i="6"/>
  <c r="G59" i="6"/>
  <c r="G78" i="6"/>
  <c r="G60" i="6"/>
  <c r="G79" i="6"/>
  <c r="G80" i="6"/>
  <c r="G81" i="6"/>
  <c r="G82" i="6"/>
  <c r="G83" i="6"/>
  <c r="G84" i="6"/>
  <c r="G16" i="6"/>
  <c r="G66" i="6"/>
  <c r="G85" i="6"/>
  <c r="G67" i="6"/>
  <c r="G86" i="6"/>
  <c r="G68" i="6"/>
  <c r="G87" i="6"/>
  <c r="G88" i="6"/>
  <c r="G89" i="6"/>
  <c r="G740" i="6"/>
  <c r="G741" i="6"/>
  <c r="G742" i="6"/>
  <c r="H745" i="6"/>
  <c r="H743" i="6"/>
  <c r="G743" i="6"/>
  <c r="H746" i="6"/>
  <c r="H744" i="6"/>
  <c r="G744" i="6"/>
  <c r="H747" i="6"/>
  <c r="H748" i="6"/>
  <c r="H18" i="10"/>
  <c r="H79" i="5"/>
  <c r="H13" i="10"/>
  <c r="H20" i="10"/>
  <c r="H21" i="10"/>
  <c r="H22" i="10"/>
  <c r="H23" i="10"/>
  <c r="H24" i="10"/>
  <c r="H25" i="10"/>
  <c r="G752" i="6"/>
  <c r="G753" i="6"/>
  <c r="G754" i="6"/>
  <c r="G756" i="6"/>
  <c r="H757" i="6"/>
  <c r="H755" i="6"/>
  <c r="H759" i="6"/>
  <c r="H764" i="6"/>
  <c r="H762" i="6"/>
  <c r="H766" i="6"/>
  <c r="H771" i="6"/>
  <c r="H769" i="6"/>
  <c r="H773" i="6"/>
  <c r="H778" i="6"/>
  <c r="H776" i="6"/>
  <c r="H780" i="6"/>
  <c r="H29" i="10"/>
  <c r="H30" i="10"/>
  <c r="H31" i="10"/>
  <c r="G134" i="6"/>
  <c r="H787" i="6"/>
  <c r="G135" i="6"/>
  <c r="H788" i="6"/>
  <c r="G136" i="6"/>
  <c r="H789" i="6"/>
  <c r="H32" i="10"/>
  <c r="H327" i="5"/>
  <c r="H33" i="10"/>
  <c r="H26" i="10"/>
  <c r="H27" i="10"/>
  <c r="H28" i="10"/>
  <c r="H34" i="10"/>
  <c r="H35" i="10"/>
  <c r="H36" i="10"/>
  <c r="H37" i="10"/>
  <c r="H10" i="5"/>
  <c r="H162" i="6"/>
  <c r="H231" i="6"/>
  <c r="H181" i="6"/>
  <c r="H197" i="6"/>
  <c r="H213" i="6"/>
  <c r="H229" i="6"/>
  <c r="H234" i="6"/>
  <c r="H688" i="6"/>
  <c r="H25" i="11"/>
  <c r="H41" i="11"/>
  <c r="H46" i="11"/>
  <c r="I8" i="6"/>
  <c r="I11" i="6"/>
  <c r="I15" i="6"/>
  <c r="I16" i="6"/>
  <c r="I19" i="6"/>
  <c r="I20" i="6"/>
  <c r="I257" i="5"/>
  <c r="I12" i="10"/>
  <c r="I58" i="6"/>
  <c r="I96" i="6"/>
  <c r="I59" i="6"/>
  <c r="I97" i="6"/>
  <c r="I60" i="6"/>
  <c r="I98" i="6"/>
  <c r="I99" i="6"/>
  <c r="I160" i="6"/>
  <c r="I178" i="6"/>
  <c r="I194" i="6"/>
  <c r="I210" i="6"/>
  <c r="I226" i="6"/>
  <c r="I233" i="6"/>
  <c r="I242" i="6"/>
  <c r="I247" i="6"/>
  <c r="I248" i="6"/>
  <c r="I249" i="6"/>
  <c r="I250" i="6"/>
  <c r="I257" i="6"/>
  <c r="I263" i="6"/>
  <c r="I264" i="6"/>
  <c r="I265" i="6"/>
  <c r="I266" i="6"/>
  <c r="I273" i="6"/>
  <c r="I244" i="6"/>
  <c r="I279" i="6"/>
  <c r="I280" i="6"/>
  <c r="I281" i="6"/>
  <c r="I282" i="6"/>
  <c r="I289" i="6"/>
  <c r="I295" i="6"/>
  <c r="I296" i="6"/>
  <c r="I297" i="6"/>
  <c r="I298" i="6"/>
  <c r="I305" i="6"/>
  <c r="I312" i="6"/>
  <c r="I66" i="6"/>
  <c r="I104" i="6"/>
  <c r="I67" i="6"/>
  <c r="I105" i="6"/>
  <c r="I68" i="6"/>
  <c r="I106" i="6"/>
  <c r="I107" i="6"/>
  <c r="I318" i="6"/>
  <c r="I336" i="6"/>
  <c r="I352" i="6"/>
  <c r="I368" i="6"/>
  <c r="I384" i="6"/>
  <c r="I391" i="6"/>
  <c r="I679" i="6"/>
  <c r="I14" i="10"/>
  <c r="I397" i="6"/>
  <c r="I415" i="6"/>
  <c r="I431" i="6"/>
  <c r="I438" i="6"/>
  <c r="I444" i="6"/>
  <c r="I452" i="6"/>
  <c r="I453" i="6"/>
  <c r="I454" i="6"/>
  <c r="I455" i="6"/>
  <c r="I462" i="6"/>
  <c r="I468" i="6"/>
  <c r="I469" i="6"/>
  <c r="I470" i="6"/>
  <c r="I471" i="6"/>
  <c r="I478" i="6"/>
  <c r="I485" i="6"/>
  <c r="I491" i="6"/>
  <c r="I509" i="6"/>
  <c r="I525" i="6"/>
  <c r="I532" i="6"/>
  <c r="I681" i="6"/>
  <c r="I15" i="10"/>
  <c r="I115" i="6"/>
  <c r="I116" i="6"/>
  <c r="I117" i="6"/>
  <c r="I118" i="6"/>
  <c r="I538" i="6"/>
  <c r="I556" i="6"/>
  <c r="I572" i="6"/>
  <c r="I579" i="6"/>
  <c r="I119" i="6"/>
  <c r="I120" i="6"/>
  <c r="I121" i="6"/>
  <c r="I122" i="6"/>
  <c r="I585" i="6"/>
  <c r="I588" i="6"/>
  <c r="I593" i="6"/>
  <c r="I594" i="6"/>
  <c r="I595" i="6"/>
  <c r="I596" i="6"/>
  <c r="I603" i="6"/>
  <c r="I587" i="6"/>
  <c r="I589" i="6"/>
  <c r="I590" i="6"/>
  <c r="I609" i="6"/>
  <c r="I610" i="6"/>
  <c r="I611" i="6"/>
  <c r="I612" i="6"/>
  <c r="I619" i="6"/>
  <c r="I626" i="6"/>
  <c r="I123" i="6"/>
  <c r="I124" i="6"/>
  <c r="I125" i="6"/>
  <c r="I126" i="6"/>
  <c r="I632" i="6"/>
  <c r="I650" i="6"/>
  <c r="I666" i="6"/>
  <c r="I673" i="6"/>
  <c r="I683" i="6"/>
  <c r="I16" i="10"/>
  <c r="I77" i="6"/>
  <c r="I78" i="6"/>
  <c r="I79" i="6"/>
  <c r="I80" i="6"/>
  <c r="I134" i="6"/>
  <c r="I113" i="5"/>
  <c r="I153" i="6"/>
  <c r="I81" i="6"/>
  <c r="I82" i="6"/>
  <c r="I83" i="6"/>
  <c r="I84" i="6"/>
  <c r="I135" i="6"/>
  <c r="I114" i="5"/>
  <c r="I154" i="6"/>
  <c r="I85" i="6"/>
  <c r="I86" i="6"/>
  <c r="I87" i="6"/>
  <c r="I88" i="6"/>
  <c r="I136" i="6"/>
  <c r="I115" i="5"/>
  <c r="I155" i="6"/>
  <c r="I156" i="6"/>
  <c r="I17" i="10"/>
  <c r="I89" i="6"/>
  <c r="I752" i="6"/>
  <c r="I753" i="6"/>
  <c r="I754" i="6"/>
  <c r="I756" i="6"/>
  <c r="I758" i="6"/>
  <c r="I760" i="6"/>
  <c r="I761" i="6"/>
  <c r="I763" i="6"/>
  <c r="I765" i="6"/>
  <c r="I767" i="6"/>
  <c r="I768" i="6"/>
  <c r="I770" i="6"/>
  <c r="I772" i="6"/>
  <c r="I774" i="6"/>
  <c r="I775" i="6"/>
  <c r="I777" i="6"/>
  <c r="I779" i="6"/>
  <c r="I19" i="10"/>
  <c r="I740" i="6"/>
  <c r="I741" i="6"/>
  <c r="I742" i="6"/>
  <c r="I745" i="6"/>
  <c r="I743" i="6"/>
  <c r="I746" i="6"/>
  <c r="I744" i="6"/>
  <c r="I747" i="6"/>
  <c r="I748" i="6"/>
  <c r="I18" i="10"/>
  <c r="I79" i="5"/>
  <c r="I13" i="10"/>
  <c r="I20" i="10"/>
  <c r="I21" i="10"/>
  <c r="I22" i="10"/>
  <c r="I23" i="10"/>
  <c r="I24" i="10"/>
  <c r="I25" i="10"/>
  <c r="I757" i="6"/>
  <c r="I755" i="6"/>
  <c r="I759" i="6"/>
  <c r="I764" i="6"/>
  <c r="I762" i="6"/>
  <c r="I766" i="6"/>
  <c r="I771" i="6"/>
  <c r="I769" i="6"/>
  <c r="I773" i="6"/>
  <c r="I778" i="6"/>
  <c r="I776" i="6"/>
  <c r="I780" i="6"/>
  <c r="I29" i="10"/>
  <c r="I30" i="10"/>
  <c r="I31" i="10"/>
  <c r="I787" i="6"/>
  <c r="I788" i="6"/>
  <c r="I789" i="6"/>
  <c r="I32" i="10"/>
  <c r="I327" i="5"/>
  <c r="I33" i="10"/>
  <c r="I26" i="10"/>
  <c r="I27" i="10"/>
  <c r="I28" i="10"/>
  <c r="I34" i="10"/>
  <c r="I35" i="10"/>
  <c r="I36" i="10"/>
  <c r="I37" i="10"/>
  <c r="I10" i="5"/>
  <c r="I162" i="6"/>
  <c r="I231" i="6"/>
  <c r="I181" i="6"/>
  <c r="I197" i="6"/>
  <c r="I213" i="6"/>
  <c r="I229" i="6"/>
  <c r="I234" i="6"/>
  <c r="I688" i="6"/>
  <c r="I25" i="11"/>
  <c r="I41" i="11"/>
  <c r="I46" i="11"/>
  <c r="J8" i="6"/>
  <c r="J11" i="6"/>
  <c r="J15" i="6"/>
  <c r="J16" i="6"/>
  <c r="J19" i="6"/>
  <c r="J20" i="6"/>
  <c r="J257" i="5"/>
  <c r="J12" i="10"/>
  <c r="J58" i="6"/>
  <c r="J96" i="6"/>
  <c r="J59" i="6"/>
  <c r="J97" i="6"/>
  <c r="J60" i="6"/>
  <c r="J98" i="6"/>
  <c r="J99" i="6"/>
  <c r="J160" i="6"/>
  <c r="J178" i="6"/>
  <c r="J194" i="6"/>
  <c r="J210" i="6"/>
  <c r="J226" i="6"/>
  <c r="J233" i="6"/>
  <c r="J247" i="6"/>
  <c r="J248" i="6"/>
  <c r="J249" i="6"/>
  <c r="J250" i="6"/>
  <c r="J251" i="6"/>
  <c r="J257" i="6"/>
  <c r="J263" i="6"/>
  <c r="J264" i="6"/>
  <c r="J265" i="6"/>
  <c r="J266" i="6"/>
  <c r="J267" i="6"/>
  <c r="J273" i="6"/>
  <c r="J279" i="6"/>
  <c r="J280" i="6"/>
  <c r="J281" i="6"/>
  <c r="J282" i="6"/>
  <c r="J283" i="6"/>
  <c r="J289" i="6"/>
  <c r="J295" i="6"/>
  <c r="J296" i="6"/>
  <c r="J297" i="6"/>
  <c r="J298" i="6"/>
  <c r="J299" i="6"/>
  <c r="J305" i="6"/>
  <c r="J312" i="6"/>
  <c r="J66" i="6"/>
  <c r="J104" i="6"/>
  <c r="J67" i="6"/>
  <c r="J105" i="6"/>
  <c r="J68" i="6"/>
  <c r="J106" i="6"/>
  <c r="J107" i="6"/>
  <c r="J318" i="6"/>
  <c r="J336" i="6"/>
  <c r="J352" i="6"/>
  <c r="J368" i="6"/>
  <c r="J384" i="6"/>
  <c r="J391" i="6"/>
  <c r="J679" i="6"/>
  <c r="J14" i="10"/>
  <c r="J397" i="6"/>
  <c r="J415" i="6"/>
  <c r="J431" i="6"/>
  <c r="J438" i="6"/>
  <c r="J444" i="6"/>
  <c r="J452" i="6"/>
  <c r="J453" i="6"/>
  <c r="J454" i="6"/>
  <c r="J455" i="6"/>
  <c r="J456" i="6"/>
  <c r="J462" i="6"/>
  <c r="J468" i="6"/>
  <c r="J469" i="6"/>
  <c r="J470" i="6"/>
  <c r="J471" i="6"/>
  <c r="J472" i="6"/>
  <c r="J478" i="6"/>
  <c r="J485" i="6"/>
  <c r="J491" i="6"/>
  <c r="J509" i="6"/>
  <c r="J525" i="6"/>
  <c r="J532" i="6"/>
  <c r="J681" i="6"/>
  <c r="J15" i="10"/>
  <c r="J115" i="6"/>
  <c r="J116" i="6"/>
  <c r="J117" i="6"/>
  <c r="J118" i="6"/>
  <c r="J538" i="6"/>
  <c r="J556" i="6"/>
  <c r="J572" i="6"/>
  <c r="J579" i="6"/>
  <c r="J119" i="6"/>
  <c r="J120" i="6"/>
  <c r="J121" i="6"/>
  <c r="J122" i="6"/>
  <c r="J585" i="6"/>
  <c r="J588" i="6"/>
  <c r="J593" i="6"/>
  <c r="J594" i="6"/>
  <c r="J595" i="6"/>
  <c r="J596" i="6"/>
  <c r="J597" i="6"/>
  <c r="J603" i="6"/>
  <c r="J587" i="6"/>
  <c r="J589" i="6"/>
  <c r="J590" i="6"/>
  <c r="J609" i="6"/>
  <c r="J610" i="6"/>
  <c r="J611" i="6"/>
  <c r="J612" i="6"/>
  <c r="J613" i="6"/>
  <c r="J619" i="6"/>
  <c r="J626" i="6"/>
  <c r="J123" i="6"/>
  <c r="J124" i="6"/>
  <c r="J125" i="6"/>
  <c r="J126" i="6"/>
  <c r="J632" i="6"/>
  <c r="J650" i="6"/>
  <c r="J666" i="6"/>
  <c r="J673" i="6"/>
  <c r="J683" i="6"/>
  <c r="J16" i="10"/>
  <c r="J77" i="6"/>
  <c r="J78" i="6"/>
  <c r="J79" i="6"/>
  <c r="J80" i="6"/>
  <c r="J134" i="6"/>
  <c r="J113" i="5"/>
  <c r="J153" i="6"/>
  <c r="J81" i="6"/>
  <c r="J82" i="6"/>
  <c r="J83" i="6"/>
  <c r="J84" i="6"/>
  <c r="J135" i="6"/>
  <c r="J114" i="5"/>
  <c r="J154" i="6"/>
  <c r="J85" i="6"/>
  <c r="J86" i="6"/>
  <c r="J87" i="6"/>
  <c r="J88" i="6"/>
  <c r="J136" i="6"/>
  <c r="J115" i="5"/>
  <c r="J155" i="6"/>
  <c r="J156" i="6"/>
  <c r="J17" i="10"/>
  <c r="J89" i="6"/>
  <c r="J752" i="6"/>
  <c r="J753" i="6"/>
  <c r="J754" i="6"/>
  <c r="J756" i="6"/>
  <c r="J758" i="6"/>
  <c r="J760" i="6"/>
  <c r="J761" i="6"/>
  <c r="J763" i="6"/>
  <c r="J765" i="6"/>
  <c r="J767" i="6"/>
  <c r="J768" i="6"/>
  <c r="J770" i="6"/>
  <c r="J772" i="6"/>
  <c r="J774" i="6"/>
  <c r="J775" i="6"/>
  <c r="J777" i="6"/>
  <c r="J779" i="6"/>
  <c r="J19" i="10"/>
  <c r="J740" i="6"/>
  <c r="J741" i="6"/>
  <c r="J742" i="6"/>
  <c r="J745" i="6"/>
  <c r="J743" i="6"/>
  <c r="J746" i="6"/>
  <c r="J744" i="6"/>
  <c r="J747" i="6"/>
  <c r="J748" i="6"/>
  <c r="J18" i="10"/>
  <c r="J79" i="5"/>
  <c r="J13" i="10"/>
  <c r="J20" i="10"/>
  <c r="J21" i="10"/>
  <c r="J22" i="10"/>
  <c r="J23" i="10"/>
  <c r="J24" i="10"/>
  <c r="J25" i="10"/>
  <c r="J757" i="6"/>
  <c r="J755" i="6"/>
  <c r="J759" i="6"/>
  <c r="J764" i="6"/>
  <c r="J762" i="6"/>
  <c r="J766" i="6"/>
  <c r="J771" i="6"/>
  <c r="J769" i="6"/>
  <c r="J773" i="6"/>
  <c r="J778" i="6"/>
  <c r="J776" i="6"/>
  <c r="J780" i="6"/>
  <c r="J29" i="10"/>
  <c r="J30" i="10"/>
  <c r="J31" i="10"/>
  <c r="J787" i="6"/>
  <c r="J788" i="6"/>
  <c r="J789" i="6"/>
  <c r="J32" i="10"/>
  <c r="J327" i="5"/>
  <c r="J33" i="10"/>
  <c r="J26" i="10"/>
  <c r="J27" i="10"/>
  <c r="J28" i="10"/>
  <c r="J34" i="10"/>
  <c r="J35" i="10"/>
  <c r="J36" i="10"/>
  <c r="J37" i="10"/>
  <c r="J10" i="5"/>
  <c r="J162" i="6"/>
  <c r="J231" i="6"/>
  <c r="J181" i="6"/>
  <c r="J197" i="6"/>
  <c r="J213" i="6"/>
  <c r="J229" i="6"/>
  <c r="J234" i="6"/>
  <c r="J688" i="6"/>
  <c r="J25" i="11"/>
  <c r="J41" i="11"/>
  <c r="J46" i="11"/>
  <c r="K8" i="6"/>
  <c r="K11" i="6"/>
  <c r="K15" i="6"/>
  <c r="K16" i="6"/>
  <c r="K19" i="6"/>
  <c r="K20" i="6"/>
  <c r="K257" i="5"/>
  <c r="K12" i="10"/>
  <c r="K58" i="6"/>
  <c r="K96" i="6"/>
  <c r="K59" i="6"/>
  <c r="K97" i="6"/>
  <c r="K60" i="6"/>
  <c r="K98" i="6"/>
  <c r="K99" i="6"/>
  <c r="K160" i="6"/>
  <c r="K178" i="6"/>
  <c r="K194" i="6"/>
  <c r="K210" i="6"/>
  <c r="K226" i="6"/>
  <c r="K233" i="6"/>
  <c r="K247" i="6"/>
  <c r="K248" i="6"/>
  <c r="K249" i="6"/>
  <c r="K250" i="6"/>
  <c r="K251" i="6"/>
  <c r="K252" i="6"/>
  <c r="K257" i="6"/>
  <c r="K263" i="6"/>
  <c r="K264" i="6"/>
  <c r="K265" i="6"/>
  <c r="K266" i="6"/>
  <c r="K267" i="6"/>
  <c r="K268" i="6"/>
  <c r="K273" i="6"/>
  <c r="K279" i="6"/>
  <c r="K280" i="6"/>
  <c r="K281" i="6"/>
  <c r="K282" i="6"/>
  <c r="K283" i="6"/>
  <c r="K284" i="6"/>
  <c r="K289" i="6"/>
  <c r="K295" i="6"/>
  <c r="K296" i="6"/>
  <c r="K297" i="6"/>
  <c r="K298" i="6"/>
  <c r="K299" i="6"/>
  <c r="K300" i="6"/>
  <c r="K305" i="6"/>
  <c r="K312" i="6"/>
  <c r="K66" i="6"/>
  <c r="K104" i="6"/>
  <c r="K67" i="6"/>
  <c r="K105" i="6"/>
  <c r="K68" i="6"/>
  <c r="K106" i="6"/>
  <c r="K107" i="6"/>
  <c r="K318" i="6"/>
  <c r="K336" i="6"/>
  <c r="K352" i="6"/>
  <c r="K368" i="6"/>
  <c r="K384" i="6"/>
  <c r="K391" i="6"/>
  <c r="K679" i="6"/>
  <c r="K14" i="10"/>
  <c r="K397" i="6"/>
  <c r="K415" i="6"/>
  <c r="K431" i="6"/>
  <c r="K438" i="6"/>
  <c r="K444" i="6"/>
  <c r="K452" i="6"/>
  <c r="K453" i="6"/>
  <c r="K454" i="6"/>
  <c r="K455" i="6"/>
  <c r="K456" i="6"/>
  <c r="K457" i="6"/>
  <c r="K462" i="6"/>
  <c r="K468" i="6"/>
  <c r="K469" i="6"/>
  <c r="K470" i="6"/>
  <c r="K471" i="6"/>
  <c r="K472" i="6"/>
  <c r="K473" i="6"/>
  <c r="K478" i="6"/>
  <c r="K485" i="6"/>
  <c r="K491" i="6"/>
  <c r="K509" i="6"/>
  <c r="K525" i="6"/>
  <c r="K532" i="6"/>
  <c r="K681" i="6"/>
  <c r="K15" i="10"/>
  <c r="K115" i="6"/>
  <c r="K116" i="6"/>
  <c r="K117" i="6"/>
  <c r="K118" i="6"/>
  <c r="K538" i="6"/>
  <c r="K556" i="6"/>
  <c r="K572" i="6"/>
  <c r="K579" i="6"/>
  <c r="K119" i="6"/>
  <c r="K120" i="6"/>
  <c r="K121" i="6"/>
  <c r="K122" i="6"/>
  <c r="K585" i="6"/>
  <c r="K588" i="6"/>
  <c r="K593" i="6"/>
  <c r="K594" i="6"/>
  <c r="K595" i="6"/>
  <c r="K596" i="6"/>
  <c r="K597" i="6"/>
  <c r="K598" i="6"/>
  <c r="K603" i="6"/>
  <c r="K587" i="6"/>
  <c r="K589" i="6"/>
  <c r="K590" i="6"/>
  <c r="K609" i="6"/>
  <c r="K610" i="6"/>
  <c r="K611" i="6"/>
  <c r="K612" i="6"/>
  <c r="K613" i="6"/>
  <c r="K614" i="6"/>
  <c r="K619" i="6"/>
  <c r="K626" i="6"/>
  <c r="K123" i="6"/>
  <c r="K124" i="6"/>
  <c r="K125" i="6"/>
  <c r="K126" i="6"/>
  <c r="K632" i="6"/>
  <c r="K650" i="6"/>
  <c r="K666" i="6"/>
  <c r="K673" i="6"/>
  <c r="K683" i="6"/>
  <c r="K16" i="10"/>
  <c r="K77" i="6"/>
  <c r="K78" i="6"/>
  <c r="K79" i="6"/>
  <c r="K80" i="6"/>
  <c r="K134" i="6"/>
  <c r="K113" i="5"/>
  <c r="K153" i="6"/>
  <c r="K81" i="6"/>
  <c r="K82" i="6"/>
  <c r="K83" i="6"/>
  <c r="K84" i="6"/>
  <c r="K135" i="6"/>
  <c r="K114" i="5"/>
  <c r="K154" i="6"/>
  <c r="K85" i="6"/>
  <c r="K86" i="6"/>
  <c r="K87" i="6"/>
  <c r="K88" i="6"/>
  <c r="K136" i="6"/>
  <c r="K115" i="5"/>
  <c r="K155" i="6"/>
  <c r="K156" i="6"/>
  <c r="K17" i="10"/>
  <c r="K89" i="6"/>
  <c r="K752" i="6"/>
  <c r="K753" i="6"/>
  <c r="K754" i="6"/>
  <c r="K756" i="6"/>
  <c r="K758" i="6"/>
  <c r="K760" i="6"/>
  <c r="K761" i="6"/>
  <c r="K763" i="6"/>
  <c r="K765" i="6"/>
  <c r="K767" i="6"/>
  <c r="K768" i="6"/>
  <c r="K770" i="6"/>
  <c r="K772" i="6"/>
  <c r="K774" i="6"/>
  <c r="K775" i="6"/>
  <c r="K777" i="6"/>
  <c r="K779" i="6"/>
  <c r="K19" i="10"/>
  <c r="K740" i="6"/>
  <c r="K741" i="6"/>
  <c r="K742" i="6"/>
  <c r="K745" i="6"/>
  <c r="K743" i="6"/>
  <c r="K746" i="6"/>
  <c r="K744" i="6"/>
  <c r="K747" i="6"/>
  <c r="K748" i="6"/>
  <c r="K18" i="10"/>
  <c r="K79" i="5"/>
  <c r="K13" i="10"/>
  <c r="K20" i="10"/>
  <c r="K21" i="10"/>
  <c r="K22" i="10"/>
  <c r="K23" i="10"/>
  <c r="K24" i="10"/>
  <c r="K25" i="10"/>
  <c r="K757" i="6"/>
  <c r="K755" i="6"/>
  <c r="K759" i="6"/>
  <c r="K764" i="6"/>
  <c r="K762" i="6"/>
  <c r="K766" i="6"/>
  <c r="K771" i="6"/>
  <c r="K769" i="6"/>
  <c r="K773" i="6"/>
  <c r="K778" i="6"/>
  <c r="K776" i="6"/>
  <c r="K780" i="6"/>
  <c r="K29" i="10"/>
  <c r="K30" i="10"/>
  <c r="K31" i="10"/>
  <c r="K787" i="6"/>
  <c r="K788" i="6"/>
  <c r="K789" i="6"/>
  <c r="K32" i="10"/>
  <c r="K327" i="5"/>
  <c r="K33" i="10"/>
  <c r="K26" i="10"/>
  <c r="K27" i="10"/>
  <c r="K28" i="10"/>
  <c r="K34" i="10"/>
  <c r="K35" i="10"/>
  <c r="K36" i="10"/>
  <c r="K37" i="10"/>
  <c r="K10" i="5"/>
  <c r="K162" i="6"/>
  <c r="K231" i="6"/>
  <c r="K181" i="6"/>
  <c r="K197" i="6"/>
  <c r="K213" i="6"/>
  <c r="K229" i="6"/>
  <c r="K234" i="6"/>
  <c r="K688" i="6"/>
  <c r="K25" i="11"/>
  <c r="K41" i="11"/>
  <c r="K46" i="11"/>
  <c r="L8" i="6"/>
  <c r="L11" i="6"/>
  <c r="L15" i="6"/>
  <c r="L16" i="6"/>
  <c r="L19" i="6"/>
  <c r="L20" i="6"/>
  <c r="L257" i="5"/>
  <c r="L12" i="10"/>
  <c r="L58" i="6"/>
  <c r="L96" i="6"/>
  <c r="L59" i="6"/>
  <c r="L97" i="6"/>
  <c r="L60" i="6"/>
  <c r="L98" i="6"/>
  <c r="L99" i="6"/>
  <c r="L160" i="6"/>
  <c r="L178" i="6"/>
  <c r="L194" i="6"/>
  <c r="L210" i="6"/>
  <c r="L226" i="6"/>
  <c r="L233" i="6"/>
  <c r="L247" i="6"/>
  <c r="L248" i="6"/>
  <c r="L249" i="6"/>
  <c r="L250" i="6"/>
  <c r="L251" i="6"/>
  <c r="L252" i="6"/>
  <c r="L253" i="6"/>
  <c r="L257" i="6"/>
  <c r="L263" i="6"/>
  <c r="L264" i="6"/>
  <c r="L265" i="6"/>
  <c r="L266" i="6"/>
  <c r="L267" i="6"/>
  <c r="L268" i="6"/>
  <c r="L269" i="6"/>
  <c r="L273" i="6"/>
  <c r="L279" i="6"/>
  <c r="L280" i="6"/>
  <c r="L281" i="6"/>
  <c r="L282" i="6"/>
  <c r="L283" i="6"/>
  <c r="L284" i="6"/>
  <c r="L285" i="6"/>
  <c r="L289" i="6"/>
  <c r="L295" i="6"/>
  <c r="L296" i="6"/>
  <c r="L297" i="6"/>
  <c r="L298" i="6"/>
  <c r="L299" i="6"/>
  <c r="L300" i="6"/>
  <c r="L301" i="6"/>
  <c r="L305" i="6"/>
  <c r="L312" i="6"/>
  <c r="L66" i="6"/>
  <c r="L104" i="6"/>
  <c r="L67" i="6"/>
  <c r="L105" i="6"/>
  <c r="L68" i="6"/>
  <c r="L106" i="6"/>
  <c r="L107" i="6"/>
  <c r="L318" i="6"/>
  <c r="L336" i="6"/>
  <c r="L352" i="6"/>
  <c r="L368" i="6"/>
  <c r="L384" i="6"/>
  <c r="L391" i="6"/>
  <c r="L679" i="6"/>
  <c r="L14" i="10"/>
  <c r="L397" i="6"/>
  <c r="L415" i="6"/>
  <c r="L431" i="6"/>
  <c r="L438" i="6"/>
  <c r="L444" i="6"/>
  <c r="L452" i="6"/>
  <c r="L453" i="6"/>
  <c r="L454" i="6"/>
  <c r="L455" i="6"/>
  <c r="L456" i="6"/>
  <c r="L457" i="6"/>
  <c r="L458" i="6"/>
  <c r="L462" i="6"/>
  <c r="L468" i="6"/>
  <c r="L469" i="6"/>
  <c r="L470" i="6"/>
  <c r="L471" i="6"/>
  <c r="L472" i="6"/>
  <c r="L473" i="6"/>
  <c r="L474" i="6"/>
  <c r="L478" i="6"/>
  <c r="L485" i="6"/>
  <c r="L491" i="6"/>
  <c r="L509" i="6"/>
  <c r="L525" i="6"/>
  <c r="L532" i="6"/>
  <c r="L681" i="6"/>
  <c r="L15" i="10"/>
  <c r="L115" i="6"/>
  <c r="L116" i="6"/>
  <c r="L117" i="6"/>
  <c r="L118" i="6"/>
  <c r="L538" i="6"/>
  <c r="L556" i="6"/>
  <c r="L572" i="6"/>
  <c r="L579" i="6"/>
  <c r="L119" i="6"/>
  <c r="L120" i="6"/>
  <c r="L121" i="6"/>
  <c r="L122" i="6"/>
  <c r="L585" i="6"/>
  <c r="L588" i="6"/>
  <c r="L593" i="6"/>
  <c r="L594" i="6"/>
  <c r="L595" i="6"/>
  <c r="L596" i="6"/>
  <c r="L597" i="6"/>
  <c r="L598" i="6"/>
  <c r="L599" i="6"/>
  <c r="L603" i="6"/>
  <c r="L587" i="6"/>
  <c r="L589" i="6"/>
  <c r="L590" i="6"/>
  <c r="L609" i="6"/>
  <c r="L610" i="6"/>
  <c r="L611" i="6"/>
  <c r="L612" i="6"/>
  <c r="L613" i="6"/>
  <c r="L614" i="6"/>
  <c r="L615" i="6"/>
  <c r="L619" i="6"/>
  <c r="L626" i="6"/>
  <c r="L123" i="6"/>
  <c r="L124" i="6"/>
  <c r="L125" i="6"/>
  <c r="L126" i="6"/>
  <c r="L632" i="6"/>
  <c r="L650" i="6"/>
  <c r="L666" i="6"/>
  <c r="L673" i="6"/>
  <c r="L683" i="6"/>
  <c r="L16" i="10"/>
  <c r="L77" i="6"/>
  <c r="L78" i="6"/>
  <c r="L79" i="6"/>
  <c r="L80" i="6"/>
  <c r="L134" i="6"/>
  <c r="L113" i="5"/>
  <c r="L153" i="6"/>
  <c r="L81" i="6"/>
  <c r="L82" i="6"/>
  <c r="L83" i="6"/>
  <c r="L84" i="6"/>
  <c r="L135" i="6"/>
  <c r="L114" i="5"/>
  <c r="L154" i="6"/>
  <c r="L85" i="6"/>
  <c r="L86" i="6"/>
  <c r="L87" i="6"/>
  <c r="L88" i="6"/>
  <c r="L136" i="6"/>
  <c r="L115" i="5"/>
  <c r="L155" i="6"/>
  <c r="L156" i="6"/>
  <c r="L17" i="10"/>
  <c r="L89" i="6"/>
  <c r="L752" i="6"/>
  <c r="L753" i="6"/>
  <c r="L754" i="6"/>
  <c r="L756" i="6"/>
  <c r="L758" i="6"/>
  <c r="L760" i="6"/>
  <c r="L761" i="6"/>
  <c r="L763" i="6"/>
  <c r="L765" i="6"/>
  <c r="L767" i="6"/>
  <c r="L768" i="6"/>
  <c r="L770" i="6"/>
  <c r="L772" i="6"/>
  <c r="L774" i="6"/>
  <c r="L775" i="6"/>
  <c r="L777" i="6"/>
  <c r="L779" i="6"/>
  <c r="L19" i="10"/>
  <c r="L740" i="6"/>
  <c r="L741" i="6"/>
  <c r="L742" i="6"/>
  <c r="L745" i="6"/>
  <c r="L743" i="6"/>
  <c r="L746" i="6"/>
  <c r="L744" i="6"/>
  <c r="L747" i="6"/>
  <c r="L748" i="6"/>
  <c r="L18" i="10"/>
  <c r="L79" i="5"/>
  <c r="L13" i="10"/>
  <c r="L20" i="10"/>
  <c r="L21" i="10"/>
  <c r="L22" i="10"/>
  <c r="L23" i="10"/>
  <c r="L24" i="10"/>
  <c r="L25" i="10"/>
  <c r="L757" i="6"/>
  <c r="L755" i="6"/>
  <c r="L759" i="6"/>
  <c r="L764" i="6"/>
  <c r="L762" i="6"/>
  <c r="L766" i="6"/>
  <c r="L771" i="6"/>
  <c r="L769" i="6"/>
  <c r="L773" i="6"/>
  <c r="L778" i="6"/>
  <c r="L776" i="6"/>
  <c r="L780" i="6"/>
  <c r="L29" i="10"/>
  <c r="L30" i="10"/>
  <c r="L31" i="10"/>
  <c r="L787" i="6"/>
  <c r="L788" i="6"/>
  <c r="L789" i="6"/>
  <c r="L32" i="10"/>
  <c r="L327" i="5"/>
  <c r="L33" i="10"/>
  <c r="L26" i="10"/>
  <c r="L27" i="10"/>
  <c r="L28" i="10"/>
  <c r="L34" i="10"/>
  <c r="L35" i="10"/>
  <c r="L36" i="10"/>
  <c r="L37" i="10"/>
  <c r="L10" i="5"/>
  <c r="L162" i="6"/>
  <c r="L231" i="6"/>
  <c r="L181" i="6"/>
  <c r="L197" i="6"/>
  <c r="L213" i="6"/>
  <c r="L229" i="6"/>
  <c r="L234" i="6"/>
  <c r="L688" i="6"/>
  <c r="L25" i="11"/>
  <c r="L41" i="11"/>
  <c r="L46" i="11"/>
  <c r="G11" i="6"/>
  <c r="G15" i="6"/>
  <c r="G19" i="6"/>
  <c r="G20" i="6"/>
  <c r="G257" i="5"/>
  <c r="G12" i="10"/>
  <c r="G96" i="6"/>
  <c r="G97" i="6"/>
  <c r="G98" i="6"/>
  <c r="G99" i="6"/>
  <c r="G160" i="6"/>
  <c r="G178" i="6"/>
  <c r="G194" i="6"/>
  <c r="G210" i="6"/>
  <c r="G226" i="6"/>
  <c r="G233" i="6"/>
  <c r="G247" i="6"/>
  <c r="G248" i="6"/>
  <c r="G257" i="6"/>
  <c r="G263" i="6"/>
  <c r="G264" i="6"/>
  <c r="G273" i="6"/>
  <c r="G279" i="6"/>
  <c r="G280" i="6"/>
  <c r="G289" i="6"/>
  <c r="G295" i="6"/>
  <c r="G296" i="6"/>
  <c r="G305" i="6"/>
  <c r="G312" i="6"/>
  <c r="G104" i="6"/>
  <c r="G105" i="6"/>
  <c r="G106" i="6"/>
  <c r="G107" i="6"/>
  <c r="G318" i="6"/>
  <c r="G336" i="6"/>
  <c r="G352" i="6"/>
  <c r="G368" i="6"/>
  <c r="G384" i="6"/>
  <c r="G391" i="6"/>
  <c r="G679" i="6"/>
  <c r="G14" i="10"/>
  <c r="G397" i="6"/>
  <c r="G415" i="6"/>
  <c r="G431" i="6"/>
  <c r="G438" i="6"/>
  <c r="G444" i="6"/>
  <c r="G452" i="6"/>
  <c r="G453" i="6"/>
  <c r="G462" i="6"/>
  <c r="G468" i="6"/>
  <c r="G469" i="6"/>
  <c r="G478" i="6"/>
  <c r="G485" i="6"/>
  <c r="G491" i="6"/>
  <c r="G509" i="6"/>
  <c r="G525" i="6"/>
  <c r="G532" i="6"/>
  <c r="G681" i="6"/>
  <c r="G15" i="10"/>
  <c r="G115" i="6"/>
  <c r="G116" i="6"/>
  <c r="G117" i="6"/>
  <c r="G118" i="6"/>
  <c r="G538" i="6"/>
  <c r="G556" i="6"/>
  <c r="G572" i="6"/>
  <c r="G579" i="6"/>
  <c r="F588" i="6"/>
  <c r="G594" i="6"/>
  <c r="G593" i="6"/>
  <c r="G603" i="6"/>
  <c r="G609" i="6"/>
  <c r="E585" i="6"/>
  <c r="E587" i="6"/>
  <c r="E589" i="6"/>
  <c r="E590" i="6"/>
  <c r="F590" i="6"/>
  <c r="G610" i="6"/>
  <c r="G619" i="6"/>
  <c r="G626" i="6"/>
  <c r="G123" i="6"/>
  <c r="G124" i="6"/>
  <c r="G125" i="6"/>
  <c r="G126" i="6"/>
  <c r="G632" i="6"/>
  <c r="G650" i="6"/>
  <c r="G666" i="6"/>
  <c r="G673" i="6"/>
  <c r="G683" i="6"/>
  <c r="G16" i="10"/>
  <c r="G113" i="5"/>
  <c r="G153" i="6"/>
  <c r="G114" i="5"/>
  <c r="G154" i="6"/>
  <c r="G115" i="5"/>
  <c r="G155" i="6"/>
  <c r="G156" i="6"/>
  <c r="G17" i="10"/>
  <c r="G758" i="6"/>
  <c r="G760" i="6"/>
  <c r="G761" i="6"/>
  <c r="G763" i="6"/>
  <c r="G765" i="6"/>
  <c r="G767" i="6"/>
  <c r="G768" i="6"/>
  <c r="G770" i="6"/>
  <c r="G772" i="6"/>
  <c r="G774" i="6"/>
  <c r="G775" i="6"/>
  <c r="G777" i="6"/>
  <c r="G779" i="6"/>
  <c r="G19" i="10"/>
  <c r="F8" i="6"/>
  <c r="F58" i="6"/>
  <c r="F77" i="6"/>
  <c r="F59" i="6"/>
  <c r="F78" i="6"/>
  <c r="F60" i="6"/>
  <c r="F79" i="6"/>
  <c r="F80" i="6"/>
  <c r="F81" i="6"/>
  <c r="F82" i="6"/>
  <c r="F83" i="6"/>
  <c r="F84" i="6"/>
  <c r="F16" i="6"/>
  <c r="F66" i="6"/>
  <c r="F85" i="6"/>
  <c r="F67" i="6"/>
  <c r="F86" i="6"/>
  <c r="F68" i="6"/>
  <c r="F87" i="6"/>
  <c r="F88" i="6"/>
  <c r="F89" i="6"/>
  <c r="F740" i="6"/>
  <c r="F741" i="6"/>
  <c r="F742" i="6"/>
  <c r="G745" i="6"/>
  <c r="F743" i="6"/>
  <c r="G746" i="6"/>
  <c r="F744" i="6"/>
  <c r="G747" i="6"/>
  <c r="G748" i="6"/>
  <c r="G18" i="10"/>
  <c r="G79" i="5"/>
  <c r="G13" i="10"/>
  <c r="G20" i="10"/>
  <c r="G21" i="10"/>
  <c r="G22" i="10"/>
  <c r="G23" i="10"/>
  <c r="G24" i="10"/>
  <c r="G25" i="10"/>
  <c r="F752" i="6"/>
  <c r="F753" i="6"/>
  <c r="F754" i="6"/>
  <c r="F756" i="6"/>
  <c r="G757" i="6"/>
  <c r="G755" i="6"/>
  <c r="G759" i="6"/>
  <c r="G764" i="6"/>
  <c r="G762" i="6"/>
  <c r="G766" i="6"/>
  <c r="G771" i="6"/>
  <c r="G769" i="6"/>
  <c r="G773" i="6"/>
  <c r="G778" i="6"/>
  <c r="G776" i="6"/>
  <c r="G780" i="6"/>
  <c r="G29" i="10"/>
  <c r="G30" i="10"/>
  <c r="G31" i="10"/>
  <c r="F134" i="6"/>
  <c r="G787" i="6"/>
  <c r="F135" i="6"/>
  <c r="G788" i="6"/>
  <c r="F136" i="6"/>
  <c r="G789" i="6"/>
  <c r="G32" i="10"/>
  <c r="G327" i="5"/>
  <c r="G33" i="10"/>
  <c r="G26" i="10"/>
  <c r="G27" i="10"/>
  <c r="G28" i="10"/>
  <c r="G34" i="10"/>
  <c r="G35" i="10"/>
  <c r="G36" i="10"/>
  <c r="G37" i="10"/>
  <c r="G10" i="5"/>
  <c r="G162" i="6"/>
  <c r="G231" i="6"/>
  <c r="G181" i="6"/>
  <c r="G197" i="6"/>
  <c r="G213" i="6"/>
  <c r="G229" i="6"/>
  <c r="G234" i="6"/>
  <c r="G688" i="6"/>
  <c r="G25" i="11"/>
  <c r="G41" i="11"/>
  <c r="G46" i="11"/>
  <c r="N11" i="6"/>
  <c r="N15" i="6"/>
  <c r="N19" i="6"/>
  <c r="N20" i="6"/>
  <c r="N257" i="5"/>
  <c r="N12" i="10"/>
  <c r="N96" i="6"/>
  <c r="N97" i="6"/>
  <c r="N98" i="6"/>
  <c r="N99" i="6"/>
  <c r="N160" i="6"/>
  <c r="N178" i="6"/>
  <c r="N194" i="6"/>
  <c r="N210" i="6"/>
  <c r="N226" i="6"/>
  <c r="N233" i="6"/>
  <c r="N247" i="6"/>
  <c r="N248" i="6"/>
  <c r="N249" i="6"/>
  <c r="N250" i="6"/>
  <c r="N251" i="6"/>
  <c r="N252" i="6"/>
  <c r="N253" i="6"/>
  <c r="N254" i="6"/>
  <c r="N255" i="6"/>
  <c r="N257" i="6"/>
  <c r="N263" i="6"/>
  <c r="N264" i="6"/>
  <c r="N265" i="6"/>
  <c r="N266" i="6"/>
  <c r="N267" i="6"/>
  <c r="N268" i="6"/>
  <c r="N269" i="6"/>
  <c r="N270" i="6"/>
  <c r="N271" i="6"/>
  <c r="N273" i="6"/>
  <c r="N279" i="6"/>
  <c r="N280" i="6"/>
  <c r="N281" i="6"/>
  <c r="N282" i="6"/>
  <c r="N283" i="6"/>
  <c r="N284" i="6"/>
  <c r="N285" i="6"/>
  <c r="N286" i="6"/>
  <c r="N287" i="6"/>
  <c r="N289" i="6"/>
  <c r="N295" i="6"/>
  <c r="N296" i="6"/>
  <c r="N297" i="6"/>
  <c r="N298" i="6"/>
  <c r="N299" i="6"/>
  <c r="N300" i="6"/>
  <c r="N301" i="6"/>
  <c r="N302" i="6"/>
  <c r="N303" i="6"/>
  <c r="N305" i="6"/>
  <c r="N312" i="6"/>
  <c r="N104" i="6"/>
  <c r="N105" i="6"/>
  <c r="N106" i="6"/>
  <c r="N107" i="6"/>
  <c r="N318" i="6"/>
  <c r="N336" i="6"/>
  <c r="N352" i="6"/>
  <c r="N368" i="6"/>
  <c r="N384" i="6"/>
  <c r="N391" i="6"/>
  <c r="N679" i="6"/>
  <c r="N14" i="10"/>
  <c r="N397" i="6"/>
  <c r="N415" i="6"/>
  <c r="N431" i="6"/>
  <c r="N438" i="6"/>
  <c r="N444" i="6"/>
  <c r="N452" i="6"/>
  <c r="N453" i="6"/>
  <c r="N454" i="6"/>
  <c r="N455" i="6"/>
  <c r="N456" i="6"/>
  <c r="N457" i="6"/>
  <c r="N458" i="6"/>
  <c r="N459" i="6"/>
  <c r="N460" i="6"/>
  <c r="N462" i="6"/>
  <c r="N468" i="6"/>
  <c r="N469" i="6"/>
  <c r="N470" i="6"/>
  <c r="N471" i="6"/>
  <c r="N472" i="6"/>
  <c r="N473" i="6"/>
  <c r="N474" i="6"/>
  <c r="N475" i="6"/>
  <c r="N476" i="6"/>
  <c r="N478" i="6"/>
  <c r="N485" i="6"/>
  <c r="N491" i="6"/>
  <c r="N509" i="6"/>
  <c r="N525" i="6"/>
  <c r="N532" i="6"/>
  <c r="N681" i="6"/>
  <c r="N15" i="10"/>
  <c r="N115" i="6"/>
  <c r="N116" i="6"/>
  <c r="N117" i="6"/>
  <c r="N118" i="6"/>
  <c r="N538" i="6"/>
  <c r="N556" i="6"/>
  <c r="N572" i="6"/>
  <c r="N579" i="6"/>
  <c r="N593" i="6"/>
  <c r="M588" i="6"/>
  <c r="N594" i="6"/>
  <c r="N595" i="6"/>
  <c r="N596" i="6"/>
  <c r="N597" i="6"/>
  <c r="N598" i="6"/>
  <c r="N599" i="6"/>
  <c r="N600" i="6"/>
  <c r="N601" i="6"/>
  <c r="N603" i="6"/>
  <c r="N609" i="6"/>
  <c r="M590" i="6"/>
  <c r="N610" i="6"/>
  <c r="N611" i="6"/>
  <c r="N612" i="6"/>
  <c r="N613" i="6"/>
  <c r="N614" i="6"/>
  <c r="N615" i="6"/>
  <c r="N616" i="6"/>
  <c r="N617" i="6"/>
  <c r="N619" i="6"/>
  <c r="N626" i="6"/>
  <c r="N123" i="6"/>
  <c r="N124" i="6"/>
  <c r="N125" i="6"/>
  <c r="N126" i="6"/>
  <c r="N632" i="6"/>
  <c r="N650" i="6"/>
  <c r="N666" i="6"/>
  <c r="N673" i="6"/>
  <c r="N683" i="6"/>
  <c r="N16" i="10"/>
  <c r="N113" i="5"/>
  <c r="N153" i="6"/>
  <c r="N114" i="5"/>
  <c r="N154" i="6"/>
  <c r="N115" i="5"/>
  <c r="N155" i="6"/>
  <c r="N156" i="6"/>
  <c r="N17" i="10"/>
  <c r="N758" i="6"/>
  <c r="N760" i="6"/>
  <c r="N761" i="6"/>
  <c r="N763" i="6"/>
  <c r="N765" i="6"/>
  <c r="N767" i="6"/>
  <c r="N768" i="6"/>
  <c r="N770" i="6"/>
  <c r="N772" i="6"/>
  <c r="N774" i="6"/>
  <c r="N775" i="6"/>
  <c r="N777" i="6"/>
  <c r="N779" i="6"/>
  <c r="N19" i="10"/>
  <c r="M8" i="6"/>
  <c r="M58" i="6"/>
  <c r="M77" i="6"/>
  <c r="M59" i="6"/>
  <c r="M78" i="6"/>
  <c r="M60" i="6"/>
  <c r="M79" i="6"/>
  <c r="M80" i="6"/>
  <c r="M81" i="6"/>
  <c r="M82" i="6"/>
  <c r="M83" i="6"/>
  <c r="M84" i="6"/>
  <c r="M16" i="6"/>
  <c r="M66" i="6"/>
  <c r="M85" i="6"/>
  <c r="M67" i="6"/>
  <c r="M86" i="6"/>
  <c r="M68" i="6"/>
  <c r="M87" i="6"/>
  <c r="M88" i="6"/>
  <c r="M89" i="6"/>
  <c r="M740" i="6"/>
  <c r="M741" i="6"/>
  <c r="M742" i="6"/>
  <c r="N745" i="6"/>
  <c r="M743" i="6"/>
  <c r="N746" i="6"/>
  <c r="M744" i="6"/>
  <c r="N747" i="6"/>
  <c r="N748" i="6"/>
  <c r="N18" i="10"/>
  <c r="N79" i="5"/>
  <c r="N13" i="10"/>
  <c r="N20" i="10"/>
  <c r="N21" i="10"/>
  <c r="N22" i="10"/>
  <c r="N23" i="10"/>
  <c r="N24" i="10"/>
  <c r="N25" i="10"/>
  <c r="M752" i="6"/>
  <c r="M753" i="6"/>
  <c r="M754" i="6"/>
  <c r="M756" i="6"/>
  <c r="N757" i="6"/>
  <c r="N755" i="6"/>
  <c r="N759" i="6"/>
  <c r="N764" i="6"/>
  <c r="N762" i="6"/>
  <c r="N766" i="6"/>
  <c r="N771" i="6"/>
  <c r="N769" i="6"/>
  <c r="N773" i="6"/>
  <c r="N778" i="6"/>
  <c r="N776" i="6"/>
  <c r="N780" i="6"/>
  <c r="N29" i="10"/>
  <c r="N30" i="10"/>
  <c r="N31" i="10"/>
  <c r="M134" i="6"/>
  <c r="N787" i="6"/>
  <c r="M135" i="6"/>
  <c r="N788" i="6"/>
  <c r="M136" i="6"/>
  <c r="N789" i="6"/>
  <c r="N32" i="10"/>
  <c r="N327" i="5"/>
  <c r="N33" i="10"/>
  <c r="N26" i="10"/>
  <c r="N27" i="10"/>
  <c r="N28" i="10"/>
  <c r="N34" i="10"/>
  <c r="N35" i="10"/>
  <c r="N36" i="10"/>
  <c r="N37" i="10"/>
  <c r="N10" i="5"/>
  <c r="N162" i="6"/>
  <c r="N231" i="6"/>
  <c r="N181" i="6"/>
  <c r="N197" i="6"/>
  <c r="N213" i="6"/>
  <c r="N229" i="6"/>
  <c r="N234" i="6"/>
  <c r="N688" i="6"/>
  <c r="N25" i="11"/>
  <c r="N41" i="11"/>
  <c r="N46" i="11"/>
  <c r="M11" i="6"/>
  <c r="M15" i="6"/>
  <c r="M19" i="6"/>
  <c r="M20" i="6"/>
  <c r="M257" i="5"/>
  <c r="M12" i="10"/>
  <c r="M96" i="6"/>
  <c r="M97" i="6"/>
  <c r="M98" i="6"/>
  <c r="M99" i="6"/>
  <c r="M160" i="6"/>
  <c r="M178" i="6"/>
  <c r="M194" i="6"/>
  <c r="M210" i="6"/>
  <c r="M226" i="6"/>
  <c r="M233" i="6"/>
  <c r="M247" i="6"/>
  <c r="M248" i="6"/>
  <c r="M249" i="6"/>
  <c r="M250" i="6"/>
  <c r="M251" i="6"/>
  <c r="M252" i="6"/>
  <c r="M253" i="6"/>
  <c r="M254" i="6"/>
  <c r="M257" i="6"/>
  <c r="M263" i="6"/>
  <c r="M264" i="6"/>
  <c r="M265" i="6"/>
  <c r="M266" i="6"/>
  <c r="M267" i="6"/>
  <c r="M268" i="6"/>
  <c r="M269" i="6"/>
  <c r="M270" i="6"/>
  <c r="M273" i="6"/>
  <c r="M279" i="6"/>
  <c r="M280" i="6"/>
  <c r="M281" i="6"/>
  <c r="M282" i="6"/>
  <c r="M283" i="6"/>
  <c r="M284" i="6"/>
  <c r="M285" i="6"/>
  <c r="M286" i="6"/>
  <c r="M289" i="6"/>
  <c r="M295" i="6"/>
  <c r="M296" i="6"/>
  <c r="M297" i="6"/>
  <c r="M298" i="6"/>
  <c r="M299" i="6"/>
  <c r="M300" i="6"/>
  <c r="M301" i="6"/>
  <c r="M302" i="6"/>
  <c r="M305" i="6"/>
  <c r="M312" i="6"/>
  <c r="M104" i="6"/>
  <c r="M105" i="6"/>
  <c r="M106" i="6"/>
  <c r="M107" i="6"/>
  <c r="M318" i="6"/>
  <c r="M336" i="6"/>
  <c r="M352" i="6"/>
  <c r="M368" i="6"/>
  <c r="M384" i="6"/>
  <c r="M391" i="6"/>
  <c r="M679" i="6"/>
  <c r="M14" i="10"/>
  <c r="M397" i="6"/>
  <c r="M415" i="6"/>
  <c r="M431" i="6"/>
  <c r="M438" i="6"/>
  <c r="M444" i="6"/>
  <c r="M452" i="6"/>
  <c r="M453" i="6"/>
  <c r="M454" i="6"/>
  <c r="M455" i="6"/>
  <c r="M456" i="6"/>
  <c r="M457" i="6"/>
  <c r="M458" i="6"/>
  <c r="M459" i="6"/>
  <c r="M462" i="6"/>
  <c r="M468" i="6"/>
  <c r="M469" i="6"/>
  <c r="M470" i="6"/>
  <c r="M471" i="6"/>
  <c r="M472" i="6"/>
  <c r="M473" i="6"/>
  <c r="M474" i="6"/>
  <c r="M475" i="6"/>
  <c r="M478" i="6"/>
  <c r="M485" i="6"/>
  <c r="M491" i="6"/>
  <c r="M509" i="6"/>
  <c r="M525" i="6"/>
  <c r="M532" i="6"/>
  <c r="M681" i="6"/>
  <c r="M15" i="10"/>
  <c r="M115" i="6"/>
  <c r="M116" i="6"/>
  <c r="M117" i="6"/>
  <c r="M118" i="6"/>
  <c r="M538" i="6"/>
  <c r="M556" i="6"/>
  <c r="M572" i="6"/>
  <c r="M579" i="6"/>
  <c r="M593" i="6"/>
  <c r="M594" i="6"/>
  <c r="M595" i="6"/>
  <c r="M596" i="6"/>
  <c r="M597" i="6"/>
  <c r="M598" i="6"/>
  <c r="M599" i="6"/>
  <c r="M600" i="6"/>
  <c r="M603" i="6"/>
  <c r="M609" i="6"/>
  <c r="M610" i="6"/>
  <c r="M611" i="6"/>
  <c r="M612" i="6"/>
  <c r="M613" i="6"/>
  <c r="M614" i="6"/>
  <c r="M615" i="6"/>
  <c r="M616" i="6"/>
  <c r="M619" i="6"/>
  <c r="M626" i="6"/>
  <c r="M123" i="6"/>
  <c r="M124" i="6"/>
  <c r="M125" i="6"/>
  <c r="M126" i="6"/>
  <c r="M632" i="6"/>
  <c r="M650" i="6"/>
  <c r="M666" i="6"/>
  <c r="M673" i="6"/>
  <c r="M683" i="6"/>
  <c r="M16" i="10"/>
  <c r="M113" i="5"/>
  <c r="M153" i="6"/>
  <c r="M114" i="5"/>
  <c r="M154" i="6"/>
  <c r="M115" i="5"/>
  <c r="M155" i="6"/>
  <c r="M156" i="6"/>
  <c r="M17" i="10"/>
  <c r="M758" i="6"/>
  <c r="M760" i="6"/>
  <c r="M761" i="6"/>
  <c r="M763" i="6"/>
  <c r="M765" i="6"/>
  <c r="M767" i="6"/>
  <c r="M768" i="6"/>
  <c r="M770" i="6"/>
  <c r="M772" i="6"/>
  <c r="M774" i="6"/>
  <c r="M775" i="6"/>
  <c r="M777" i="6"/>
  <c r="M779" i="6"/>
  <c r="M19" i="10"/>
  <c r="M745" i="6"/>
  <c r="M746" i="6"/>
  <c r="M747" i="6"/>
  <c r="M748" i="6"/>
  <c r="M18" i="10"/>
  <c r="M79" i="5"/>
  <c r="M13" i="10"/>
  <c r="M20" i="10"/>
  <c r="M21" i="10"/>
  <c r="M22" i="10"/>
  <c r="M23" i="10"/>
  <c r="M24" i="10"/>
  <c r="M25" i="10"/>
  <c r="M757" i="6"/>
  <c r="M755" i="6"/>
  <c r="M759" i="6"/>
  <c r="M764" i="6"/>
  <c r="M762" i="6"/>
  <c r="M766" i="6"/>
  <c r="M771" i="6"/>
  <c r="M769" i="6"/>
  <c r="M773" i="6"/>
  <c r="M778" i="6"/>
  <c r="M776" i="6"/>
  <c r="M780" i="6"/>
  <c r="M29" i="10"/>
  <c r="M30" i="10"/>
  <c r="M31" i="10"/>
  <c r="M787" i="6"/>
  <c r="M788" i="6"/>
  <c r="M789" i="6"/>
  <c r="M32" i="10"/>
  <c r="M327" i="5"/>
  <c r="M33" i="10"/>
  <c r="M26" i="10"/>
  <c r="M27" i="10"/>
  <c r="M28" i="10"/>
  <c r="M34" i="10"/>
  <c r="M35" i="10"/>
  <c r="M36" i="10"/>
  <c r="M37" i="10"/>
  <c r="M10" i="5"/>
  <c r="M162" i="6"/>
  <c r="M231" i="6"/>
  <c r="M181" i="6"/>
  <c r="M197" i="6"/>
  <c r="M213" i="6"/>
  <c r="M229" i="6"/>
  <c r="M234" i="6"/>
  <c r="M688" i="6"/>
  <c r="M25" i="11"/>
  <c r="M41" i="11"/>
  <c r="M46" i="11"/>
  <c r="E310" i="6"/>
  <c r="E692" i="6"/>
  <c r="E135" i="6"/>
  <c r="E189" i="11"/>
  <c r="E205" i="11"/>
  <c r="E210" i="11"/>
  <c r="F239" i="5"/>
  <c r="D153" i="5"/>
  <c r="U247" i="9"/>
  <c r="V247" i="9"/>
  <c r="X247" i="9"/>
  <c r="W247" i="9"/>
  <c r="Z247" i="9"/>
  <c r="AD247" i="9"/>
  <c r="Y247" i="9"/>
  <c r="AA247" i="9"/>
  <c r="D96" i="5"/>
  <c r="D332" i="5"/>
  <c r="D340" i="5"/>
  <c r="D69" i="5"/>
  <c r="D54" i="5"/>
  <c r="D326" i="5"/>
  <c r="D325" i="5"/>
  <c r="D324" i="5"/>
  <c r="D323" i="5"/>
  <c r="D488" i="5"/>
  <c r="D486" i="5"/>
  <c r="D452" i="5"/>
  <c r="D458" i="5"/>
  <c r="D457" i="5"/>
  <c r="D456" i="5"/>
  <c r="D455" i="5"/>
  <c r="D454" i="5"/>
  <c r="D451" i="5"/>
  <c r="D450" i="5"/>
  <c r="D449" i="5"/>
  <c r="D448" i="5"/>
  <c r="D447" i="5"/>
  <c r="D444" i="5"/>
  <c r="D419" i="5"/>
  <c r="D418" i="5"/>
  <c r="D417" i="5"/>
  <c r="D415" i="5"/>
  <c r="D38" i="5"/>
  <c r="D39" i="5"/>
  <c r="D41" i="5"/>
  <c r="D45" i="5"/>
  <c r="D44" i="5"/>
  <c r="D43" i="5"/>
  <c r="D225" i="5"/>
  <c r="D412" i="5"/>
  <c r="E316" i="5"/>
  <c r="P315" i="5"/>
  <c r="D290" i="5"/>
  <c r="D289" i="5"/>
  <c r="D288" i="5"/>
  <c r="D287" i="5"/>
  <c r="D286" i="5"/>
  <c r="I285" i="5"/>
  <c r="I287" i="5"/>
  <c r="P287" i="5"/>
  <c r="I284" i="5"/>
  <c r="I290" i="5"/>
  <c r="P290" i="5"/>
  <c r="I289" i="5"/>
  <c r="P289" i="5"/>
  <c r="I288" i="5"/>
  <c r="P288" i="5"/>
  <c r="D284" i="5"/>
  <c r="D285" i="5"/>
  <c r="P284" i="5"/>
  <c r="I286" i="5"/>
  <c r="P286" i="5"/>
  <c r="P285" i="5"/>
  <c r="L52" i="5"/>
  <c r="E67" i="5"/>
  <c r="P69" i="5"/>
  <c r="F52" i="5"/>
  <c r="E61" i="5"/>
  <c r="P61" i="5"/>
  <c r="G52" i="5"/>
  <c r="E62" i="5"/>
  <c r="P62" i="5"/>
  <c r="H52" i="5"/>
  <c r="E63" i="5"/>
  <c r="I52" i="5"/>
  <c r="E64" i="5"/>
  <c r="P64" i="5"/>
  <c r="J52" i="5"/>
  <c r="E65" i="5"/>
  <c r="P65" i="5"/>
  <c r="K52" i="5"/>
  <c r="E66" i="5"/>
  <c r="P66" i="5"/>
  <c r="M52" i="5"/>
  <c r="E68" i="5"/>
  <c r="P68" i="5"/>
  <c r="E52" i="5"/>
  <c r="E60" i="5"/>
  <c r="P60" i="5"/>
  <c r="H395" i="5"/>
  <c r="P67" i="5"/>
  <c r="P51" i="5"/>
  <c r="P52" i="5"/>
  <c r="E70" i="5"/>
  <c r="H393" i="5"/>
  <c r="H400" i="5"/>
  <c r="H399" i="5"/>
  <c r="H398" i="5"/>
  <c r="H397" i="5"/>
  <c r="H396" i="5"/>
  <c r="D494" i="5"/>
  <c r="D493" i="5"/>
  <c r="K394" i="5"/>
  <c r="K395" i="5"/>
  <c r="K396" i="5"/>
  <c r="K397" i="5"/>
  <c r="K398" i="5"/>
  <c r="K399" i="5"/>
  <c r="K400" i="5"/>
  <c r="K401" i="5"/>
  <c r="K393" i="5"/>
  <c r="K364" i="5"/>
  <c r="K360" i="5"/>
  <c r="K361" i="5"/>
  <c r="K362" i="5"/>
  <c r="K359" i="5"/>
  <c r="P485" i="5"/>
  <c r="P484" i="5"/>
  <c r="P483" i="5"/>
  <c r="P481" i="5"/>
  <c r="P480" i="5"/>
  <c r="P479" i="5"/>
  <c r="P478" i="5"/>
  <c r="P477" i="5"/>
  <c r="P476" i="5"/>
  <c r="P475" i="5"/>
  <c r="P474" i="5"/>
  <c r="P473" i="5"/>
  <c r="P472" i="5"/>
  <c r="P471" i="5"/>
  <c r="P469" i="5"/>
  <c r="P486" i="5"/>
  <c r="P457" i="5"/>
  <c r="P456" i="5"/>
  <c r="P455" i="5"/>
  <c r="P454" i="5"/>
  <c r="P451" i="5"/>
  <c r="P450" i="5"/>
  <c r="P449" i="5"/>
  <c r="P448" i="5"/>
  <c r="P447" i="5"/>
  <c r="P444" i="5"/>
  <c r="P256" i="5"/>
  <c r="D252" i="5"/>
  <c r="P238" i="5"/>
  <c r="P237" i="5"/>
  <c r="P236" i="5"/>
  <c r="P235" i="5"/>
  <c r="D238" i="5"/>
  <c r="D237" i="5"/>
  <c r="D236" i="5"/>
  <c r="D235" i="5"/>
  <c r="D215" i="5"/>
  <c r="I356" i="9"/>
  <c r="I355" i="9"/>
  <c r="D118" i="5"/>
  <c r="I410" i="5"/>
  <c r="I409" i="5"/>
  <c r="I408" i="5"/>
  <c r="I407" i="5"/>
  <c r="I406" i="5"/>
  <c r="F384" i="5"/>
  <c r="I390" i="5"/>
  <c r="I389" i="5"/>
  <c r="I388" i="5"/>
  <c r="I387" i="5"/>
  <c r="I386" i="5"/>
  <c r="I372" i="5"/>
  <c r="I371" i="5"/>
  <c r="I370" i="5"/>
  <c r="I369" i="5"/>
  <c r="I368" i="5"/>
  <c r="P150" i="5"/>
  <c r="D150" i="5"/>
  <c r="E151" i="5"/>
  <c r="D135" i="5"/>
  <c r="G136" i="5"/>
  <c r="F136" i="5"/>
  <c r="E136" i="5"/>
  <c r="AA290" i="9"/>
  <c r="AA291" i="9"/>
  <c r="AA292" i="9"/>
  <c r="U240" i="9"/>
  <c r="V240" i="9"/>
  <c r="W240" i="9"/>
  <c r="U241" i="9"/>
  <c r="V241" i="9"/>
  <c r="W241" i="9"/>
  <c r="U242" i="9"/>
  <c r="V242" i="9"/>
  <c r="W242" i="9"/>
  <c r="U243" i="9"/>
  <c r="V243" i="9"/>
  <c r="W243" i="9"/>
  <c r="U244" i="9"/>
  <c r="V244" i="9"/>
  <c r="W244" i="9"/>
  <c r="U245" i="9"/>
  <c r="V245" i="9"/>
  <c r="W245" i="9"/>
  <c r="U246" i="9"/>
  <c r="V246" i="9"/>
  <c r="W246" i="9"/>
  <c r="U248" i="9"/>
  <c r="V248" i="9"/>
  <c r="W248" i="9"/>
  <c r="U249" i="9"/>
  <c r="V249" i="9"/>
  <c r="W249" i="9"/>
  <c r="U250" i="9"/>
  <c r="V250" i="9"/>
  <c r="W250" i="9"/>
  <c r="U251" i="9"/>
  <c r="V251" i="9"/>
  <c r="W251" i="9"/>
  <c r="U252" i="9"/>
  <c r="V252" i="9"/>
  <c r="X252" i="9"/>
  <c r="AB252" i="9"/>
  <c r="W252" i="9"/>
  <c r="U253" i="9"/>
  <c r="V253" i="9"/>
  <c r="W253" i="9"/>
  <c r="U254" i="9"/>
  <c r="V254" i="9"/>
  <c r="W254" i="9"/>
  <c r="U255" i="9"/>
  <c r="V255" i="9"/>
  <c r="W255" i="9"/>
  <c r="U256" i="9"/>
  <c r="V256" i="9"/>
  <c r="W256" i="9"/>
  <c r="U257" i="9"/>
  <c r="V257" i="9"/>
  <c r="W257" i="9"/>
  <c r="U258" i="9"/>
  <c r="V258" i="9"/>
  <c r="W258" i="9"/>
  <c r="U259" i="9"/>
  <c r="V259" i="9"/>
  <c r="W259" i="9"/>
  <c r="U260" i="9"/>
  <c r="V260" i="9"/>
  <c r="Y260" i="9"/>
  <c r="W260" i="9"/>
  <c r="U261" i="9"/>
  <c r="V261" i="9"/>
  <c r="W261" i="9"/>
  <c r="U262" i="9"/>
  <c r="V262" i="9"/>
  <c r="W262" i="9"/>
  <c r="U263" i="9"/>
  <c r="V263" i="9"/>
  <c r="W263" i="9"/>
  <c r="U264" i="9"/>
  <c r="V264" i="9"/>
  <c r="W264" i="9"/>
  <c r="U265" i="9"/>
  <c r="V265" i="9"/>
  <c r="W265" i="9"/>
  <c r="U266" i="9"/>
  <c r="V266" i="9"/>
  <c r="W266" i="9"/>
  <c r="U267" i="9"/>
  <c r="V267" i="9"/>
  <c r="W267" i="9"/>
  <c r="U268" i="9"/>
  <c r="V268" i="9"/>
  <c r="W268" i="9"/>
  <c r="U269" i="9"/>
  <c r="V269" i="9"/>
  <c r="W269" i="9"/>
  <c r="U270" i="9"/>
  <c r="V270" i="9"/>
  <c r="W270" i="9"/>
  <c r="U271" i="9"/>
  <c r="V271" i="9"/>
  <c r="W271" i="9"/>
  <c r="U272" i="9"/>
  <c r="V272" i="9"/>
  <c r="W272" i="9"/>
  <c r="U273" i="9"/>
  <c r="V273" i="9"/>
  <c r="W273" i="9"/>
  <c r="U274" i="9"/>
  <c r="V274" i="9"/>
  <c r="W274" i="9"/>
  <c r="U275" i="9"/>
  <c r="V275" i="9"/>
  <c r="W275" i="9"/>
  <c r="U276" i="9"/>
  <c r="V276" i="9"/>
  <c r="W276" i="9"/>
  <c r="U277" i="9"/>
  <c r="V277" i="9"/>
  <c r="Y277" i="9"/>
  <c r="W277" i="9"/>
  <c r="U278" i="9"/>
  <c r="V278" i="9"/>
  <c r="W278" i="9"/>
  <c r="U279" i="9"/>
  <c r="V279" i="9"/>
  <c r="W279" i="9"/>
  <c r="U280" i="9"/>
  <c r="V280" i="9"/>
  <c r="W280" i="9"/>
  <c r="U281" i="9"/>
  <c r="V281" i="9"/>
  <c r="W281" i="9"/>
  <c r="U282" i="9"/>
  <c r="V282" i="9"/>
  <c r="W282" i="9"/>
  <c r="U283" i="9"/>
  <c r="V283" i="9"/>
  <c r="W283" i="9"/>
  <c r="U284" i="9"/>
  <c r="V284" i="9"/>
  <c r="W284" i="9"/>
  <c r="U285" i="9"/>
  <c r="V285" i="9"/>
  <c r="W285" i="9"/>
  <c r="U286" i="9"/>
  <c r="V286" i="9"/>
  <c r="W286" i="9"/>
  <c r="U287" i="9"/>
  <c r="V287" i="9"/>
  <c r="W287" i="9"/>
  <c r="U288" i="9"/>
  <c r="V288" i="9"/>
  <c r="W288" i="9"/>
  <c r="U289" i="9"/>
  <c r="V289" i="9"/>
  <c r="W289" i="9"/>
  <c r="W239" i="9"/>
  <c r="V239" i="9"/>
  <c r="U239" i="9"/>
  <c r="X239" i="9"/>
  <c r="P151" i="5"/>
  <c r="D154" i="5"/>
  <c r="Z240" i="9"/>
  <c r="AD240" i="9"/>
  <c r="X264" i="9"/>
  <c r="AB264" i="9"/>
  <c r="Z286" i="9"/>
  <c r="AD286" i="9"/>
  <c r="Z249" i="9"/>
  <c r="AD249" i="9"/>
  <c r="Y240" i="9"/>
  <c r="Y285" i="9"/>
  <c r="Y269" i="9"/>
  <c r="X258" i="9"/>
  <c r="X271" i="9"/>
  <c r="AB271" i="9"/>
  <c r="X268" i="9"/>
  <c r="X288" i="9"/>
  <c r="X280" i="9"/>
  <c r="AB280" i="9"/>
  <c r="X272" i="9"/>
  <c r="Y261" i="9"/>
  <c r="Z258" i="9"/>
  <c r="Y253" i="9"/>
  <c r="Z260" i="9"/>
  <c r="AD260" i="9"/>
  <c r="X243" i="9"/>
  <c r="AB243" i="9"/>
  <c r="AA281" i="9"/>
  <c r="X287" i="9"/>
  <c r="AB287" i="9"/>
  <c r="X246" i="9"/>
  <c r="AA265" i="9"/>
  <c r="Z289" i="9"/>
  <c r="AA273" i="9"/>
  <c r="Z257" i="9"/>
  <c r="AD257" i="9"/>
  <c r="AA272" i="9"/>
  <c r="AA284" i="9"/>
  <c r="AA252" i="9"/>
  <c r="Y281" i="9"/>
  <c r="Z252" i="9"/>
  <c r="Y243" i="9"/>
  <c r="AC243" i="9"/>
  <c r="AA287" i="9"/>
  <c r="AA279" i="9"/>
  <c r="AA271" i="9"/>
  <c r="AE271" i="9"/>
  <c r="AA263" i="9"/>
  <c r="AE263" i="9"/>
  <c r="AA255" i="9"/>
  <c r="AE255" i="9"/>
  <c r="AA246" i="9"/>
  <c r="Y252" i="9"/>
  <c r="AC252" i="9"/>
  <c r="AA276" i="9"/>
  <c r="AA260" i="9"/>
  <c r="AE260" i="9"/>
  <c r="Z268" i="9"/>
  <c r="X260" i="9"/>
  <c r="AB260" i="9"/>
  <c r="X273" i="9"/>
  <c r="X249" i="9"/>
  <c r="AB249" i="9"/>
  <c r="X240" i="9"/>
  <c r="AB240" i="9"/>
  <c r="Z284" i="9"/>
  <c r="Y276" i="9"/>
  <c r="Y268" i="9"/>
  <c r="Y249" i="9"/>
  <c r="AA257" i="9"/>
  <c r="AE257" i="9"/>
  <c r="AA283" i="9"/>
  <c r="AE283" i="9"/>
  <c r="AA275" i="9"/>
  <c r="AA267" i="9"/>
  <c r="AA264" i="9"/>
  <c r="AE264" i="9"/>
  <c r="AA259" i="9"/>
  <c r="AA251" i="9"/>
  <c r="AA248" i="9"/>
  <c r="AE248" i="9"/>
  <c r="AA242" i="9"/>
  <c r="AE242" i="9"/>
  <c r="Y284" i="9"/>
  <c r="X276" i="9"/>
  <c r="Y246" i="9"/>
  <c r="AA249" i="9"/>
  <c r="AE249" i="9"/>
  <c r="AA268" i="9"/>
  <c r="AA243" i="9"/>
  <c r="AE243" i="9"/>
  <c r="Z276" i="9"/>
  <c r="X265" i="9"/>
  <c r="X284" i="9"/>
  <c r="Z273" i="9"/>
  <c r="Z265" i="9"/>
  <c r="AA240" i="9"/>
  <c r="AE240" i="9"/>
  <c r="X289" i="9"/>
  <c r="AB289" i="9"/>
  <c r="X281" i="9"/>
  <c r="AB281" i="9"/>
  <c r="X257" i="9"/>
  <c r="AB257" i="9"/>
  <c r="Z239" i="9"/>
  <c r="AD239" i="9"/>
  <c r="AA280" i="9"/>
  <c r="AE280" i="9"/>
  <c r="X248" i="9"/>
  <c r="AB248" i="9"/>
  <c r="Y289" i="9"/>
  <c r="Z281" i="9"/>
  <c r="AD281" i="9"/>
  <c r="Y273" i="9"/>
  <c r="Y265" i="9"/>
  <c r="Y257" i="9"/>
  <c r="Z243" i="9"/>
  <c r="AD243" i="9"/>
  <c r="AA289" i="9"/>
  <c r="AE289" i="9"/>
  <c r="AA282" i="9"/>
  <c r="AE282" i="9"/>
  <c r="Y282" i="9"/>
  <c r="AA274" i="9"/>
  <c r="Y274" i="9"/>
  <c r="AA266" i="9"/>
  <c r="Y266" i="9"/>
  <c r="AA258" i="9"/>
  <c r="Y258" i="9"/>
  <c r="AA250" i="9"/>
  <c r="Y250" i="9"/>
  <c r="AA241" i="9"/>
  <c r="AE241" i="9"/>
  <c r="Y241" i="9"/>
  <c r="Z241" i="9"/>
  <c r="AD241" i="9"/>
  <c r="Z282" i="9"/>
  <c r="AD282" i="9"/>
  <c r="X266" i="9"/>
  <c r="X255" i="9"/>
  <c r="AB255" i="9"/>
  <c r="Z287" i="9"/>
  <c r="Z279" i="9"/>
  <c r="AD279" i="9"/>
  <c r="Z271" i="9"/>
  <c r="Z263" i="9"/>
  <c r="AD263" i="9"/>
  <c r="Z255" i="9"/>
  <c r="AD255" i="9"/>
  <c r="Z246" i="9"/>
  <c r="AD246" i="9"/>
  <c r="Y287" i="9"/>
  <c r="X282" i="9"/>
  <c r="AB282" i="9"/>
  <c r="Y271" i="9"/>
  <c r="AC271" i="9"/>
  <c r="AC240" i="9"/>
  <c r="X286" i="9"/>
  <c r="AB286" i="9"/>
  <c r="AA286" i="9"/>
  <c r="Y286" i="9"/>
  <c r="Z270" i="9"/>
  <c r="AD270" i="9"/>
  <c r="X270" i="9"/>
  <c r="AB270" i="9"/>
  <c r="AA270" i="9"/>
  <c r="AE270" i="9"/>
  <c r="Y270" i="9"/>
  <c r="AB239" i="9"/>
  <c r="X283" i="9"/>
  <c r="AB283" i="9"/>
  <c r="X275" i="9"/>
  <c r="X267" i="9"/>
  <c r="X259" i="9"/>
  <c r="AB259" i="9"/>
  <c r="X251" i="9"/>
  <c r="X242" i="9"/>
  <c r="AB242" i="9"/>
  <c r="Y279" i="9"/>
  <c r="X274" i="9"/>
  <c r="X263" i="9"/>
  <c r="AB263" i="9"/>
  <c r="AC257" i="9"/>
  <c r="Z250" i="9"/>
  <c r="X278" i="9"/>
  <c r="AB278" i="9"/>
  <c r="AA278" i="9"/>
  <c r="Y278" i="9"/>
  <c r="X262" i="9"/>
  <c r="AB262" i="9"/>
  <c r="Z262" i="9"/>
  <c r="AA262" i="9"/>
  <c r="AE262" i="9"/>
  <c r="Y262" i="9"/>
  <c r="X254" i="9"/>
  <c r="AA254" i="9"/>
  <c r="Y254" i="9"/>
  <c r="Z254" i="9"/>
  <c r="AD254" i="9"/>
  <c r="AA239" i="9"/>
  <c r="Y239" i="9"/>
  <c r="Y288" i="9"/>
  <c r="Z288" i="9"/>
  <c r="Y280" i="9"/>
  <c r="Z280" i="9"/>
  <c r="AD280" i="9"/>
  <c r="Y272" i="9"/>
  <c r="Z272" i="9"/>
  <c r="AD272" i="9"/>
  <c r="Y264" i="9"/>
  <c r="AC264" i="9"/>
  <c r="Z264" i="9"/>
  <c r="AD264" i="9"/>
  <c r="Y256" i="9"/>
  <c r="Z256" i="9"/>
  <c r="Y248" i="9"/>
  <c r="Z248" i="9"/>
  <c r="AD248" i="9"/>
  <c r="X279" i="9"/>
  <c r="AB279" i="9"/>
  <c r="X256" i="9"/>
  <c r="X250" i="9"/>
  <c r="AA288" i="9"/>
  <c r="AA256" i="9"/>
  <c r="Z245" i="9"/>
  <c r="X245" i="9"/>
  <c r="AB245" i="9"/>
  <c r="AA245" i="9"/>
  <c r="AE245" i="9"/>
  <c r="Y245" i="9"/>
  <c r="Z274" i="9"/>
  <c r="Y263" i="9"/>
  <c r="Z285" i="9"/>
  <c r="AA285" i="9"/>
  <c r="X285" i="9"/>
  <c r="Z277" i="9"/>
  <c r="AD277" i="9"/>
  <c r="AA277" i="9"/>
  <c r="X277" i="9"/>
  <c r="Z269" i="9"/>
  <c r="AA269" i="9"/>
  <c r="X269" i="9"/>
  <c r="Z261" i="9"/>
  <c r="AA261" i="9"/>
  <c r="AE261" i="9"/>
  <c r="X261" i="9"/>
  <c r="AB261" i="9"/>
  <c r="Z253" i="9"/>
  <c r="AD253" i="9"/>
  <c r="AA253" i="9"/>
  <c r="X253" i="9"/>
  <c r="AB253" i="9"/>
  <c r="Z244" i="9"/>
  <c r="AA244" i="9"/>
  <c r="AE244" i="9"/>
  <c r="X244" i="9"/>
  <c r="AB244" i="9"/>
  <c r="Y244" i="9"/>
  <c r="Z278" i="9"/>
  <c r="AD278" i="9"/>
  <c r="Z266" i="9"/>
  <c r="Y255" i="9"/>
  <c r="X241" i="9"/>
  <c r="Z283" i="9"/>
  <c r="AD283" i="9"/>
  <c r="Z275" i="9"/>
  <c r="Z267" i="9"/>
  <c r="AD267" i="9"/>
  <c r="Z259" i="9"/>
  <c r="Z251" i="9"/>
  <c r="AD251" i="9"/>
  <c r="Z242" i="9"/>
  <c r="AD242" i="9"/>
  <c r="Y283" i="9"/>
  <c r="Y275" i="9"/>
  <c r="Y267" i="9"/>
  <c r="Y259" i="9"/>
  <c r="Y251" i="9"/>
  <c r="Y242" i="9"/>
  <c r="D151" i="5"/>
  <c r="D136" i="5"/>
  <c r="D51" i="5"/>
  <c r="M50" i="5"/>
  <c r="L50" i="5"/>
  <c r="K50" i="5"/>
  <c r="J50" i="5"/>
  <c r="I50" i="5"/>
  <c r="H50" i="5"/>
  <c r="P274" i="5"/>
  <c r="P273" i="5"/>
  <c r="P272" i="5"/>
  <c r="P219" i="5"/>
  <c r="P125" i="5"/>
  <c r="P124" i="5"/>
  <c r="P123" i="5"/>
  <c r="AC255" i="9"/>
  <c r="AC287" i="9"/>
  <c r="AC248" i="9"/>
  <c r="AC280" i="9"/>
  <c r="AC249" i="9"/>
  <c r="AC270" i="9"/>
  <c r="AC289" i="9"/>
  <c r="AC281" i="9"/>
  <c r="AC278" i="9"/>
  <c r="AC283" i="9"/>
  <c r="AC245" i="9"/>
  <c r="AC241" i="9"/>
  <c r="AC242" i="9"/>
  <c r="AC244" i="9"/>
  <c r="AC260" i="9"/>
  <c r="AE239" i="9"/>
  <c r="AA235" i="9"/>
  <c r="AA234" i="9"/>
  <c r="X234" i="9"/>
  <c r="AC263" i="9"/>
  <c r="AC259" i="9"/>
  <c r="AC262" i="9"/>
  <c r="Z235" i="9"/>
  <c r="AD266" i="9"/>
  <c r="AC261" i="9"/>
  <c r="AC253" i="9"/>
  <c r="AC279" i="9"/>
  <c r="AC286" i="9"/>
  <c r="AC282" i="9"/>
  <c r="Z234" i="9"/>
  <c r="AB241" i="9"/>
  <c r="X235" i="9"/>
  <c r="AB247" i="9"/>
  <c r="Y235" i="9"/>
  <c r="AC239" i="9"/>
  <c r="Y234" i="9"/>
  <c r="E458" i="5"/>
  <c r="E452" i="5"/>
  <c r="D441" i="5"/>
  <c r="G441" i="5"/>
  <c r="E441" i="5"/>
  <c r="AC269" i="9"/>
  <c r="AC247" i="9"/>
  <c r="AE253" i="9"/>
  <c r="AE247" i="9"/>
  <c r="AD271" i="9"/>
  <c r="AC251" i="9"/>
  <c r="AD261" i="9"/>
  <c r="AE266" i="9"/>
  <c r="AD269" i="9"/>
  <c r="AE256" i="9"/>
  <c r="AD245" i="9"/>
  <c r="AC288" i="9"/>
  <c r="AC274" i="9"/>
  <c r="AE286" i="9"/>
  <c r="AD250" i="9"/>
  <c r="AD285" i="9"/>
  <c r="AD262" i="9"/>
  <c r="AC267" i="9"/>
  <c r="AE278" i="9"/>
  <c r="AD288" i="9"/>
  <c r="AE269" i="9"/>
  <c r="AE254" i="9"/>
  <c r="AD275" i="9"/>
  <c r="AD256" i="9"/>
  <c r="AD244" i="9"/>
  <c r="AD274" i="9"/>
  <c r="AB246" i="9"/>
  <c r="AB258" i="9"/>
  <c r="AB268" i="9"/>
  <c r="AB284" i="9"/>
  <c r="AB272" i="9"/>
  <c r="AB276" i="9"/>
  <c r="AB265" i="9"/>
  <c r="AB288" i="9"/>
  <c r="AB273" i="9"/>
  <c r="AB267" i="9"/>
  <c r="AB277" i="9"/>
  <c r="AE272" i="9"/>
  <c r="AE275" i="9"/>
  <c r="AE252" i="9"/>
  <c r="AE276" i="9"/>
  <c r="AE281" i="9"/>
  <c r="AE246" i="9"/>
  <c r="AE279" i="9"/>
  <c r="AE273" i="9"/>
  <c r="AE268" i="9"/>
  <c r="AE284" i="9"/>
  <c r="AE265" i="9"/>
  <c r="AE259" i="9"/>
  <c r="AE267" i="9"/>
  <c r="AE287" i="9"/>
  <c r="AE251" i="9"/>
  <c r="AB274" i="9"/>
  <c r="AC246" i="9"/>
  <c r="AC285" i="9"/>
  <c r="AC276" i="9"/>
  <c r="AC273" i="9"/>
  <c r="AC265" i="9"/>
  <c r="AC268" i="9"/>
  <c r="AC284" i="9"/>
  <c r="AB275" i="9"/>
  <c r="AE250" i="9"/>
  <c r="AC275" i="9"/>
  <c r="AE274" i="9"/>
  <c r="AC266" i="9"/>
  <c r="AE288" i="9"/>
  <c r="AC254" i="9"/>
  <c r="AB285" i="9"/>
  <c r="AC277" i="9"/>
  <c r="AD265" i="9"/>
  <c r="AD268" i="9"/>
  <c r="AD284" i="9"/>
  <c r="AD273" i="9"/>
  <c r="AD289" i="9"/>
  <c r="AD252" i="9"/>
  <c r="AD276" i="9"/>
  <c r="AD258" i="9"/>
  <c r="AB254" i="9"/>
  <c r="AD287" i="9"/>
  <c r="AE258" i="9"/>
  <c r="AC272" i="9"/>
  <c r="AC256" i="9"/>
  <c r="AB256" i="9"/>
  <c r="AB269" i="9"/>
  <c r="AB250" i="9"/>
  <c r="AC258" i="9"/>
  <c r="AE285" i="9"/>
  <c r="AE277" i="9"/>
  <c r="AB266" i="9"/>
  <c r="AC250" i="9"/>
  <c r="AB251" i="9"/>
  <c r="AD259" i="9"/>
  <c r="D37" i="5"/>
  <c r="AD235" i="9"/>
  <c r="AE235" i="9"/>
  <c r="AC235" i="9"/>
  <c r="AB235" i="9"/>
  <c r="F45" i="5"/>
  <c r="F44" i="5"/>
  <c r="F43" i="5"/>
  <c r="E413" i="5"/>
  <c r="E350" i="5"/>
  <c r="D351" i="5"/>
  <c r="L362" i="5"/>
  <c r="M362" i="5"/>
  <c r="L364" i="5"/>
  <c r="L360" i="5"/>
  <c r="L359" i="5"/>
  <c r="L361" i="5"/>
  <c r="E19" i="11"/>
  <c r="P415" i="5"/>
  <c r="E354" i="5"/>
  <c r="D355" i="5"/>
  <c r="D353" i="5"/>
  <c r="D469" i="5"/>
  <c r="D471" i="5"/>
  <c r="D472" i="5"/>
  <c r="D473" i="5"/>
  <c r="D474" i="5"/>
  <c r="D475" i="5"/>
  <c r="D476" i="5"/>
  <c r="D477" i="5"/>
  <c r="D478" i="5"/>
  <c r="D479" i="5"/>
  <c r="D480" i="5"/>
  <c r="D481" i="5"/>
  <c r="D483" i="5"/>
  <c r="D484" i="5"/>
  <c r="D485" i="5"/>
  <c r="D432" i="5"/>
  <c r="D433" i="5"/>
  <c r="D434" i="5"/>
  <c r="D435" i="5"/>
  <c r="D436" i="5"/>
  <c r="D437" i="5"/>
  <c r="D438" i="5"/>
  <c r="D439" i="5"/>
  <c r="D440" i="5"/>
  <c r="D431" i="5"/>
  <c r="M725" i="6"/>
  <c r="L725" i="6"/>
  <c r="K725" i="6"/>
  <c r="J725" i="6"/>
  <c r="I725" i="6"/>
  <c r="H725" i="6"/>
  <c r="G725" i="6"/>
  <c r="F725" i="6"/>
  <c r="P213" i="5"/>
  <c r="P413" i="5"/>
  <c r="N725" i="6"/>
  <c r="O725" i="6"/>
  <c r="E725" i="6"/>
  <c r="E414" i="5"/>
  <c r="P412" i="5"/>
  <c r="P34" i="6"/>
  <c r="P41" i="6"/>
  <c r="P37" i="5"/>
  <c r="I225" i="5"/>
  <c r="N550" i="6"/>
  <c r="P175" i="5"/>
  <c r="P174" i="5"/>
  <c r="O409" i="6"/>
  <c r="P176" i="5"/>
  <c r="L172" i="6"/>
  <c r="N224" i="6"/>
  <c r="E144" i="5"/>
  <c r="E729" i="6"/>
  <c r="E733" i="6"/>
  <c r="E216" i="5"/>
  <c r="P216" i="5"/>
  <c r="P41" i="5"/>
  <c r="P48" i="6"/>
  <c r="G144" i="5"/>
  <c r="F79" i="5"/>
  <c r="F13" i="10"/>
  <c r="F327" i="5"/>
  <c r="F33" i="10"/>
  <c r="E79" i="5"/>
  <c r="E327" i="5"/>
  <c r="E33" i="10"/>
  <c r="E239" i="5"/>
  <c r="E463" i="5"/>
  <c r="E464" i="5"/>
  <c r="G239" i="5"/>
  <c r="E465" i="5"/>
  <c r="P312" i="5"/>
  <c r="P58" i="13"/>
  <c r="P59" i="13"/>
  <c r="D312" i="5"/>
  <c r="D269" i="5"/>
  <c r="D267" i="5"/>
  <c r="D266" i="5"/>
  <c r="D265" i="5"/>
  <c r="D248" i="5"/>
  <c r="P50" i="13"/>
  <c r="P24" i="5"/>
  <c r="P34" i="5"/>
  <c r="P33" i="5"/>
  <c r="P32" i="5"/>
  <c r="P31" i="5"/>
  <c r="P30" i="5"/>
  <c r="P29" i="5"/>
  <c r="P28" i="5"/>
  <c r="P27" i="5"/>
  <c r="P26" i="5"/>
  <c r="P25" i="5"/>
  <c r="O729" i="6"/>
  <c r="O733" i="6"/>
  <c r="N729" i="6"/>
  <c r="N733" i="6"/>
  <c r="M729" i="6"/>
  <c r="M733" i="6"/>
  <c r="L729" i="6"/>
  <c r="L733" i="6"/>
  <c r="K729" i="6"/>
  <c r="K733" i="6"/>
  <c r="J729" i="6"/>
  <c r="J733" i="6"/>
  <c r="I729" i="6"/>
  <c r="I733" i="6"/>
  <c r="H729" i="6"/>
  <c r="H733" i="6"/>
  <c r="G729" i="6"/>
  <c r="G733" i="6"/>
  <c r="F729" i="6"/>
  <c r="F733" i="6"/>
  <c r="E206" i="5"/>
  <c r="D226" i="5"/>
  <c r="D214" i="5"/>
  <c r="D213" i="5"/>
  <c r="D203" i="5"/>
  <c r="D202" i="5"/>
  <c r="D201" i="5"/>
  <c r="D200" i="5"/>
  <c r="D199" i="5"/>
  <c r="D198" i="5"/>
  <c r="D197" i="5"/>
  <c r="D194" i="5"/>
  <c r="D192" i="5"/>
  <c r="D180" i="5"/>
  <c r="D179" i="5"/>
  <c r="D178" i="5"/>
  <c r="D177" i="5"/>
  <c r="D176" i="5"/>
  <c r="D175" i="5"/>
  <c r="D174" i="5"/>
  <c r="D171" i="5"/>
  <c r="D169" i="5"/>
  <c r="E183" i="5"/>
  <c r="P27" i="6"/>
  <c r="P4" i="5"/>
  <c r="P4" i="6"/>
  <c r="P3" i="5"/>
  <c r="P3" i="6"/>
  <c r="E161" i="5"/>
  <c r="D148" i="5"/>
  <c r="D152" i="5"/>
  <c r="D149" i="5"/>
  <c r="D147" i="5"/>
  <c r="D142" i="5"/>
  <c r="D140" i="5"/>
  <c r="D134" i="5"/>
  <c r="D84" i="5"/>
  <c r="P53" i="6"/>
  <c r="P46" i="6"/>
  <c r="P39" i="6"/>
  <c r="P32" i="6"/>
  <c r="E4" i="11"/>
  <c r="E4" i="10"/>
  <c r="E4" i="6"/>
  <c r="E4" i="13"/>
  <c r="P96" i="5"/>
  <c r="G440" i="5"/>
  <c r="E440" i="5"/>
  <c r="G431" i="5"/>
  <c r="G432" i="5"/>
  <c r="G433" i="5"/>
  <c r="G434" i="5"/>
  <c r="G435" i="5"/>
  <c r="G436" i="5"/>
  <c r="G437" i="5"/>
  <c r="G438" i="5"/>
  <c r="G439" i="5"/>
  <c r="E431" i="5"/>
  <c r="E432" i="5"/>
  <c r="E433" i="5"/>
  <c r="E434" i="5"/>
  <c r="E435" i="5"/>
  <c r="E436" i="5"/>
  <c r="E437" i="5"/>
  <c r="E438" i="5"/>
  <c r="E439" i="5"/>
  <c r="N442" i="5"/>
  <c r="L442" i="5"/>
  <c r="P355" i="5"/>
  <c r="P353" i="5"/>
  <c r="P351" i="5"/>
  <c r="P350" i="5"/>
  <c r="D158" i="5"/>
  <c r="D157" i="5"/>
  <c r="D83" i="5"/>
  <c r="D156" i="5"/>
  <c r="D155" i="5"/>
  <c r="D120" i="5"/>
  <c r="D119" i="5"/>
  <c r="D110" i="5"/>
  <c r="D109" i="5"/>
  <c r="D108" i="5"/>
  <c r="D100" i="5"/>
  <c r="D99" i="5"/>
  <c r="D98" i="5"/>
  <c r="D95" i="5"/>
  <c r="E35" i="5"/>
  <c r="F35" i="5"/>
  <c r="G35" i="5"/>
  <c r="H35" i="5"/>
  <c r="I35" i="5"/>
  <c r="J35" i="5"/>
  <c r="K35" i="5"/>
  <c r="L35" i="5"/>
  <c r="M35" i="5"/>
  <c r="P55" i="13"/>
  <c r="P54" i="13"/>
  <c r="A49" i="13"/>
  <c r="E5" i="13"/>
  <c r="E3" i="13"/>
  <c r="P269" i="5"/>
  <c r="P267" i="5"/>
  <c r="P266" i="5"/>
  <c r="P265" i="5"/>
  <c r="P120" i="5"/>
  <c r="E5" i="11"/>
  <c r="E3" i="11"/>
  <c r="E5" i="10"/>
  <c r="E3" i="10"/>
  <c r="E5" i="6"/>
  <c r="E3" i="6"/>
  <c r="P326" i="5"/>
  <c r="P325" i="5"/>
  <c r="P324" i="5"/>
  <c r="P323" i="5"/>
  <c r="P340" i="5"/>
  <c r="P332" i="5"/>
  <c r="P119" i="5"/>
  <c r="P118" i="5"/>
  <c r="P110" i="5"/>
  <c r="M23" i="5"/>
  <c r="L23" i="5"/>
  <c r="K23" i="5"/>
  <c r="J23" i="5"/>
  <c r="I23" i="5"/>
  <c r="H23" i="5"/>
  <c r="P84" i="5"/>
  <c r="P100" i="5"/>
  <c r="P99" i="5"/>
  <c r="P98" i="5"/>
  <c r="P109" i="5"/>
  <c r="P108" i="5"/>
  <c r="P214" i="5"/>
  <c r="P215" i="5"/>
  <c r="P95" i="5"/>
  <c r="P83" i="5"/>
  <c r="P203" i="5"/>
  <c r="P202" i="5"/>
  <c r="P180" i="5"/>
  <c r="P179" i="5"/>
  <c r="P178" i="5"/>
  <c r="P158" i="5"/>
  <c r="P157" i="5"/>
  <c r="P38" i="5"/>
  <c r="P39" i="5"/>
  <c r="E40" i="5"/>
  <c r="P40" i="5"/>
  <c r="P78" i="5"/>
  <c r="P77" i="5"/>
  <c r="D442" i="5"/>
  <c r="D64" i="5"/>
  <c r="D68" i="5"/>
  <c r="D61" i="5"/>
  <c r="D67" i="5"/>
  <c r="D60" i="5"/>
  <c r="D66" i="5"/>
  <c r="D62" i="5"/>
  <c r="D65" i="5"/>
  <c r="P5" i="6"/>
  <c r="E409" i="5"/>
  <c r="E389" i="5"/>
  <c r="E371" i="5"/>
  <c r="E29" i="10"/>
  <c r="E32" i="10"/>
  <c r="E317" i="5"/>
  <c r="E15" i="10"/>
  <c r="P19" i="11"/>
  <c r="D362" i="5"/>
  <c r="P362" i="5"/>
  <c r="L396" i="5"/>
  <c r="L397" i="5"/>
  <c r="L400" i="5"/>
  <c r="L395" i="5"/>
  <c r="L401" i="5"/>
  <c r="M401" i="5"/>
  <c r="L399" i="5"/>
  <c r="L394" i="5"/>
  <c r="L393" i="5"/>
  <c r="L398" i="5"/>
  <c r="P85" i="5"/>
  <c r="N321" i="6"/>
  <c r="O343" i="6"/>
  <c r="J163" i="6"/>
  <c r="K185" i="6"/>
  <c r="N163" i="6"/>
  <c r="N168" i="6"/>
  <c r="M321" i="6"/>
  <c r="M326" i="6"/>
  <c r="K321" i="6"/>
  <c r="L327" i="6"/>
  <c r="J321" i="6"/>
  <c r="K343" i="6"/>
  <c r="L163" i="6"/>
  <c r="N170" i="6"/>
  <c r="L321" i="6"/>
  <c r="L342" i="6"/>
  <c r="O163" i="6"/>
  <c r="O168" i="6"/>
  <c r="M163" i="6"/>
  <c r="O186" i="6"/>
  <c r="O321" i="6"/>
  <c r="K163" i="6"/>
  <c r="K184" i="6"/>
  <c r="M541" i="6"/>
  <c r="M546" i="6"/>
  <c r="L541" i="6"/>
  <c r="L546" i="6"/>
  <c r="O635" i="6"/>
  <c r="O640" i="6"/>
  <c r="K541" i="6"/>
  <c r="L547" i="6"/>
  <c r="N635" i="6"/>
  <c r="O641" i="6"/>
  <c r="J541" i="6"/>
  <c r="K547" i="6"/>
  <c r="M635" i="6"/>
  <c r="M640" i="6"/>
  <c r="L635" i="6"/>
  <c r="L640" i="6"/>
  <c r="K635" i="6"/>
  <c r="K640" i="6"/>
  <c r="O541" i="6"/>
  <c r="O546" i="6"/>
  <c r="J635" i="6"/>
  <c r="K641" i="6"/>
  <c r="N541" i="6"/>
  <c r="N546" i="6"/>
  <c r="J400" i="6"/>
  <c r="J405" i="6"/>
  <c r="L447" i="6"/>
  <c r="O494" i="6"/>
  <c r="O499" i="6"/>
  <c r="K494" i="6"/>
  <c r="L500" i="6"/>
  <c r="O400" i="6"/>
  <c r="O405" i="6"/>
  <c r="J494" i="6"/>
  <c r="J499" i="6"/>
  <c r="N400" i="6"/>
  <c r="O406" i="6"/>
  <c r="O447" i="6"/>
  <c r="M400" i="6"/>
  <c r="M405" i="6"/>
  <c r="N447" i="6"/>
  <c r="L400" i="6"/>
  <c r="M406" i="6"/>
  <c r="M447" i="6"/>
  <c r="K400" i="6"/>
  <c r="L406" i="6"/>
  <c r="N494" i="6"/>
  <c r="N499" i="6"/>
  <c r="M494" i="6"/>
  <c r="N500" i="6"/>
  <c r="K447" i="6"/>
  <c r="L494" i="6"/>
  <c r="L499" i="6"/>
  <c r="J447" i="6"/>
  <c r="P3" i="10"/>
  <c r="P4" i="13"/>
  <c r="E406" i="5"/>
  <c r="E386" i="5"/>
  <c r="D386" i="5"/>
  <c r="E408" i="5"/>
  <c r="E388" i="5"/>
  <c r="D388" i="5"/>
  <c r="E407" i="5"/>
  <c r="E387" i="5"/>
  <c r="D387" i="5"/>
  <c r="P64" i="13"/>
  <c r="E370" i="5"/>
  <c r="D370" i="5"/>
  <c r="E369" i="5"/>
  <c r="D369" i="5"/>
  <c r="E368" i="5"/>
  <c r="P3" i="11"/>
  <c r="O642" i="6"/>
  <c r="J330" i="6"/>
  <c r="P47" i="13"/>
  <c r="P9" i="10"/>
  <c r="O335" i="6"/>
  <c r="P335" i="6"/>
  <c r="K362" i="6"/>
  <c r="P4" i="11"/>
  <c r="O658" i="6"/>
  <c r="P5" i="11"/>
  <c r="P5" i="13"/>
  <c r="L644" i="6"/>
  <c r="O207" i="6"/>
  <c r="K204" i="6"/>
  <c r="P725" i="6"/>
  <c r="P3" i="13"/>
  <c r="L363" i="5"/>
  <c r="O365" i="6"/>
  <c r="O332" i="6"/>
  <c r="L330" i="6"/>
  <c r="K173" i="6"/>
  <c r="E14" i="10"/>
  <c r="I643" i="6"/>
  <c r="M567" i="6"/>
  <c r="O380" i="6"/>
  <c r="O333" i="6"/>
  <c r="J329" i="6"/>
  <c r="L364" i="6"/>
  <c r="M331" i="6"/>
  <c r="N172" i="6"/>
  <c r="O367" i="6"/>
  <c r="P367" i="6"/>
  <c r="N333" i="6"/>
  <c r="L331" i="6"/>
  <c r="M329" i="6"/>
  <c r="M172" i="6"/>
  <c r="N332" i="6"/>
  <c r="L329" i="6"/>
  <c r="O364" i="6"/>
  <c r="P256" i="6"/>
  <c r="M365" i="6"/>
  <c r="K205" i="6"/>
  <c r="O176" i="6"/>
  <c r="M550" i="6"/>
  <c r="N365" i="6"/>
  <c r="N364" i="6"/>
  <c r="P288" i="6"/>
  <c r="M363" i="6"/>
  <c r="O204" i="6"/>
  <c r="M171" i="6"/>
  <c r="M207" i="6"/>
  <c r="N348" i="6"/>
  <c r="K363" i="6"/>
  <c r="M362" i="6"/>
  <c r="N204" i="6"/>
  <c r="J171" i="6"/>
  <c r="O350" i="6"/>
  <c r="N350" i="6"/>
  <c r="P5" i="10"/>
  <c r="O366" i="6"/>
  <c r="O363" i="6"/>
  <c r="O334" i="6"/>
  <c r="O331" i="6"/>
  <c r="L363" i="6"/>
  <c r="O206" i="6"/>
  <c r="O175" i="6"/>
  <c r="O383" i="6"/>
  <c r="P383" i="6"/>
  <c r="N366" i="6"/>
  <c r="N363" i="6"/>
  <c r="N334" i="6"/>
  <c r="N331" i="6"/>
  <c r="K331" i="6"/>
  <c r="L362" i="6"/>
  <c r="O208" i="6"/>
  <c r="N206" i="6"/>
  <c r="N175" i="6"/>
  <c r="O362" i="6"/>
  <c r="O329" i="6"/>
  <c r="O330" i="6"/>
  <c r="J362" i="6"/>
  <c r="K330" i="6"/>
  <c r="M333" i="6"/>
  <c r="O205" i="6"/>
  <c r="N190" i="6"/>
  <c r="N174" i="6"/>
  <c r="N382" i="6"/>
  <c r="N362" i="6"/>
  <c r="N329" i="6"/>
  <c r="N330" i="6"/>
  <c r="K329" i="6"/>
  <c r="L332" i="6"/>
  <c r="M332" i="6"/>
  <c r="M205" i="6"/>
  <c r="N173" i="6"/>
  <c r="P53" i="13"/>
  <c r="M223" i="6"/>
  <c r="P239" i="5"/>
  <c r="E22" i="10"/>
  <c r="P729" i="6"/>
  <c r="P79" i="5"/>
  <c r="P48" i="13"/>
  <c r="O665" i="6"/>
  <c r="P665" i="6"/>
  <c r="O648" i="6"/>
  <c r="I659" i="6"/>
  <c r="K644" i="6"/>
  <c r="L661" i="6"/>
  <c r="I564" i="6"/>
  <c r="O553" i="6"/>
  <c r="P62" i="13"/>
  <c r="O659" i="6"/>
  <c r="N643" i="6"/>
  <c r="E13" i="10"/>
  <c r="P13" i="10"/>
  <c r="I658" i="6"/>
  <c r="L646" i="6"/>
  <c r="M364" i="6"/>
  <c r="M330" i="6"/>
  <c r="N208" i="6"/>
  <c r="N207" i="6"/>
  <c r="L205" i="6"/>
  <c r="L171" i="6"/>
  <c r="M173" i="6"/>
  <c r="H564" i="6"/>
  <c r="N553" i="6"/>
  <c r="N658" i="6"/>
  <c r="K567" i="6"/>
  <c r="O646" i="6"/>
  <c r="N506" i="6"/>
  <c r="J659" i="6"/>
  <c r="N349" i="6"/>
  <c r="O661" i="6"/>
  <c r="O645" i="6"/>
  <c r="J642" i="6"/>
  <c r="M206" i="6"/>
  <c r="L204" i="6"/>
  <c r="O177" i="6"/>
  <c r="P177" i="6"/>
  <c r="M175" i="6"/>
  <c r="K172" i="6"/>
  <c r="N549" i="6"/>
  <c r="P33" i="10"/>
  <c r="P461" i="6"/>
  <c r="N660" i="6"/>
  <c r="N645" i="6"/>
  <c r="E24" i="10"/>
  <c r="E16" i="10"/>
  <c r="K659" i="6"/>
  <c r="M647" i="6"/>
  <c r="M549" i="6"/>
  <c r="N642" i="6"/>
  <c r="J660" i="6"/>
  <c r="N662" i="6"/>
  <c r="P602" i="6"/>
  <c r="O649" i="6"/>
  <c r="P649" i="6"/>
  <c r="E23" i="10"/>
  <c r="K645" i="6"/>
  <c r="K502" i="6"/>
  <c r="M642" i="6"/>
  <c r="O209" i="6"/>
  <c r="P209" i="6"/>
  <c r="N205" i="6"/>
  <c r="J204" i="6"/>
  <c r="O171" i="6"/>
  <c r="O173" i="6"/>
  <c r="K564" i="6"/>
  <c r="H548" i="6"/>
  <c r="O508" i="6"/>
  <c r="P508" i="6"/>
  <c r="O506" i="6"/>
  <c r="N407" i="6"/>
  <c r="J518" i="6"/>
  <c r="O429" i="6"/>
  <c r="P44" i="13"/>
  <c r="O522" i="6"/>
  <c r="J423" i="6"/>
  <c r="O524" i="6"/>
  <c r="P524" i="6"/>
  <c r="H517" i="6"/>
  <c r="K501" i="6"/>
  <c r="P477" i="6"/>
  <c r="N522" i="6"/>
  <c r="I423" i="6"/>
  <c r="M519" i="6"/>
  <c r="M425" i="6"/>
  <c r="O517" i="6"/>
  <c r="O519" i="6"/>
  <c r="O501" i="6"/>
  <c r="O503" i="6"/>
  <c r="I502" i="6"/>
  <c r="K520" i="6"/>
  <c r="I424" i="6"/>
  <c r="L426" i="6"/>
  <c r="J408" i="6"/>
  <c r="N409" i="6"/>
  <c r="N517" i="6"/>
  <c r="N519" i="6"/>
  <c r="N501" i="6"/>
  <c r="N503" i="6"/>
  <c r="I501" i="6"/>
  <c r="K504" i="6"/>
  <c r="K423" i="6"/>
  <c r="K426" i="6"/>
  <c r="O407" i="6"/>
  <c r="K425" i="6"/>
  <c r="O523" i="6"/>
  <c r="O521" i="6"/>
  <c r="O507" i="6"/>
  <c r="O505" i="6"/>
  <c r="H501" i="6"/>
  <c r="J503" i="6"/>
  <c r="J425" i="6"/>
  <c r="N523" i="6"/>
  <c r="N521" i="6"/>
  <c r="N507" i="6"/>
  <c r="N505" i="6"/>
  <c r="J502" i="6"/>
  <c r="L504" i="6"/>
  <c r="M506" i="6"/>
  <c r="M424" i="6"/>
  <c r="O427" i="6"/>
  <c r="M411" i="6"/>
  <c r="N428" i="6"/>
  <c r="O518" i="6"/>
  <c r="O520" i="6"/>
  <c r="O502" i="6"/>
  <c r="O504" i="6"/>
  <c r="I518" i="6"/>
  <c r="J501" i="6"/>
  <c r="L503" i="6"/>
  <c r="M501" i="6"/>
  <c r="K424" i="6"/>
  <c r="N427" i="6"/>
  <c r="O408" i="6"/>
  <c r="L411" i="6"/>
  <c r="H407" i="6"/>
  <c r="L518" i="6"/>
  <c r="M517" i="6"/>
  <c r="N429" i="6"/>
  <c r="O412" i="6"/>
  <c r="N518" i="6"/>
  <c r="N520" i="6"/>
  <c r="N502" i="6"/>
  <c r="N504" i="6"/>
  <c r="I517" i="6"/>
  <c r="J424" i="6"/>
  <c r="M426" i="6"/>
  <c r="N408" i="6"/>
  <c r="N380" i="6"/>
  <c r="O351" i="6"/>
  <c r="P351" i="6"/>
  <c r="O172" i="6"/>
  <c r="M349" i="6"/>
  <c r="M190" i="6"/>
  <c r="O382" i="6"/>
  <c r="O349" i="6"/>
  <c r="L348" i="6"/>
  <c r="L206" i="6"/>
  <c r="M204" i="6"/>
  <c r="L190" i="6"/>
  <c r="N171" i="6"/>
  <c r="L174" i="6"/>
  <c r="O381" i="6"/>
  <c r="P304" i="6"/>
  <c r="P272" i="6"/>
  <c r="O224" i="6"/>
  <c r="P224" i="6"/>
  <c r="N191" i="6"/>
  <c r="N381" i="6"/>
  <c r="O348" i="6"/>
  <c r="P40" i="13"/>
  <c r="P327" i="5"/>
  <c r="P733" i="6"/>
  <c r="P41" i="13"/>
  <c r="N570" i="6"/>
  <c r="P45" i="13"/>
  <c r="K551" i="6"/>
  <c r="N552" i="6"/>
  <c r="I548" i="6"/>
  <c r="I549" i="6"/>
  <c r="N554" i="6"/>
  <c r="L566" i="6"/>
  <c r="N567" i="6"/>
  <c r="M569" i="6"/>
  <c r="L564" i="6"/>
  <c r="L565" i="6"/>
  <c r="O571" i="6"/>
  <c r="P571" i="6"/>
  <c r="M643" i="6"/>
  <c r="M661" i="6"/>
  <c r="L658" i="6"/>
  <c r="K660" i="6"/>
  <c r="J550" i="6"/>
  <c r="L551" i="6"/>
  <c r="O552" i="6"/>
  <c r="J548" i="6"/>
  <c r="J549" i="6"/>
  <c r="O554" i="6"/>
  <c r="M566" i="6"/>
  <c r="O567" i="6"/>
  <c r="N569" i="6"/>
  <c r="M564" i="6"/>
  <c r="M565" i="6"/>
  <c r="M644" i="6"/>
  <c r="M662" i="6"/>
  <c r="L659" i="6"/>
  <c r="K661" i="6"/>
  <c r="K550" i="6"/>
  <c r="M551" i="6"/>
  <c r="K548" i="6"/>
  <c r="K549" i="6"/>
  <c r="N566" i="6"/>
  <c r="O569" i="6"/>
  <c r="N564" i="6"/>
  <c r="N565" i="6"/>
  <c r="M645" i="6"/>
  <c r="M663" i="6"/>
  <c r="L660" i="6"/>
  <c r="O550" i="6"/>
  <c r="L552" i="6"/>
  <c r="O548" i="6"/>
  <c r="O549" i="6"/>
  <c r="J566" i="6"/>
  <c r="L567" i="6"/>
  <c r="O568" i="6"/>
  <c r="J564" i="6"/>
  <c r="J565" i="6"/>
  <c r="O570" i="6"/>
  <c r="M659" i="6"/>
  <c r="L645" i="6"/>
  <c r="K658" i="6"/>
  <c r="N548" i="6"/>
  <c r="N568" i="6"/>
  <c r="I565" i="6"/>
  <c r="M658" i="6"/>
  <c r="J643" i="6"/>
  <c r="H642" i="6"/>
  <c r="N644" i="6"/>
  <c r="O643" i="6"/>
  <c r="O660" i="6"/>
  <c r="N663" i="6"/>
  <c r="M552" i="6"/>
  <c r="K566" i="6"/>
  <c r="K565" i="6"/>
  <c r="M660" i="6"/>
  <c r="L642" i="6"/>
  <c r="K642" i="6"/>
  <c r="J644" i="6"/>
  <c r="H658" i="6"/>
  <c r="O644" i="6"/>
  <c r="N647" i="6"/>
  <c r="O663" i="6"/>
  <c r="N664" i="6"/>
  <c r="L550" i="6"/>
  <c r="M553" i="6"/>
  <c r="L549" i="6"/>
  <c r="O566" i="6"/>
  <c r="O565" i="6"/>
  <c r="L643" i="6"/>
  <c r="K643" i="6"/>
  <c r="J658" i="6"/>
  <c r="I642" i="6"/>
  <c r="O647" i="6"/>
  <c r="N648" i="6"/>
  <c r="N661" i="6"/>
  <c r="O664" i="6"/>
  <c r="N551" i="6"/>
  <c r="L548" i="6"/>
  <c r="O555" i="6"/>
  <c r="P555" i="6"/>
  <c r="L568" i="6"/>
  <c r="O564" i="6"/>
  <c r="M646" i="6"/>
  <c r="L662" i="6"/>
  <c r="N646" i="6"/>
  <c r="O662" i="6"/>
  <c r="N659" i="6"/>
  <c r="P618" i="6"/>
  <c r="O551" i="6"/>
  <c r="M548" i="6"/>
  <c r="M568" i="6"/>
  <c r="P4" i="10"/>
  <c r="J519" i="6"/>
  <c r="K519" i="6"/>
  <c r="L505" i="6"/>
  <c r="M505" i="6"/>
  <c r="O222" i="6"/>
  <c r="O191" i="6"/>
  <c r="M423" i="6"/>
  <c r="O426" i="6"/>
  <c r="O413" i="6"/>
  <c r="J407" i="6"/>
  <c r="L410" i="6"/>
  <c r="F366" i="5"/>
  <c r="O411" i="6"/>
  <c r="J409" i="6"/>
  <c r="N223" i="6"/>
  <c r="L222" i="6"/>
  <c r="L380" i="6"/>
  <c r="O193" i="6"/>
  <c r="P193" i="6"/>
  <c r="O223" i="6"/>
  <c r="M222" i="6"/>
  <c r="M380" i="6"/>
  <c r="M191" i="6"/>
  <c r="N222" i="6"/>
  <c r="M348" i="6"/>
  <c r="M381" i="6"/>
  <c r="N192" i="6"/>
  <c r="O190" i="6"/>
  <c r="O225" i="6"/>
  <c r="P225" i="6"/>
  <c r="K409" i="6"/>
  <c r="M410" i="6"/>
  <c r="K407" i="6"/>
  <c r="K408" i="6"/>
  <c r="N425" i="6"/>
  <c r="O428" i="6"/>
  <c r="N423" i="6"/>
  <c r="N424" i="6"/>
  <c r="M502" i="6"/>
  <c r="M520" i="6"/>
  <c r="L519" i="6"/>
  <c r="K517" i="6"/>
  <c r="L409" i="6"/>
  <c r="N410" i="6"/>
  <c r="M412" i="6"/>
  <c r="L407" i="6"/>
  <c r="L408" i="6"/>
  <c r="O414" i="6"/>
  <c r="P414" i="6"/>
  <c r="O425" i="6"/>
  <c r="L427" i="6"/>
  <c r="O423" i="6"/>
  <c r="O424" i="6"/>
  <c r="M503" i="6"/>
  <c r="M521" i="6"/>
  <c r="L501" i="6"/>
  <c r="L520" i="6"/>
  <c r="K518" i="6"/>
  <c r="M409" i="6"/>
  <c r="O410" i="6"/>
  <c r="N412" i="6"/>
  <c r="M407" i="6"/>
  <c r="M408" i="6"/>
  <c r="M427" i="6"/>
  <c r="H423" i="6"/>
  <c r="M504" i="6"/>
  <c r="M522" i="6"/>
  <c r="L502" i="6"/>
  <c r="L521" i="6"/>
  <c r="K410" i="6"/>
  <c r="N411" i="6"/>
  <c r="I407" i="6"/>
  <c r="I408" i="6"/>
  <c r="N413" i="6"/>
  <c r="L425" i="6"/>
  <c r="N426" i="6"/>
  <c r="M428" i="6"/>
  <c r="L423" i="6"/>
  <c r="L424" i="6"/>
  <c r="O430" i="6"/>
  <c r="P430" i="6"/>
  <c r="M518" i="6"/>
  <c r="L517" i="6"/>
  <c r="K503" i="6"/>
  <c r="J517" i="6"/>
  <c r="F399" i="5"/>
  <c r="F397" i="5"/>
  <c r="F395" i="5"/>
  <c r="F398" i="5"/>
  <c r="F403" i="5"/>
  <c r="F394" i="5"/>
  <c r="F404" i="5"/>
  <c r="F393" i="5"/>
  <c r="F400" i="5"/>
  <c r="F396" i="5"/>
  <c r="F364" i="5"/>
  <c r="M364" i="5"/>
  <c r="D364" i="5"/>
  <c r="F382" i="5"/>
  <c r="F365" i="5"/>
  <c r="F360" i="5"/>
  <c r="M360" i="5"/>
  <c r="F361" i="5"/>
  <c r="M361" i="5"/>
  <c r="D361" i="5"/>
  <c r="O192" i="6"/>
  <c r="F359" i="5"/>
  <c r="M359" i="5"/>
  <c r="N176" i="6"/>
  <c r="M174" i="6"/>
  <c r="K171" i="6"/>
  <c r="O174" i="6"/>
  <c r="L173" i="6"/>
  <c r="J172" i="6"/>
  <c r="F463" i="5"/>
  <c r="P463" i="5"/>
  <c r="E445" i="5"/>
  <c r="P445" i="5"/>
  <c r="F482" i="5"/>
  <c r="P482" i="5"/>
  <c r="F466" i="5"/>
  <c r="F464" i="5"/>
  <c r="P464" i="5"/>
  <c r="F465" i="5"/>
  <c r="P465" i="5"/>
  <c r="F470" i="5"/>
  <c r="P470" i="5"/>
  <c r="D35" i="5"/>
  <c r="E21" i="6"/>
  <c r="L17" i="13"/>
  <c r="P354" i="5"/>
  <c r="G17" i="13"/>
  <c r="P9" i="6"/>
  <c r="F11" i="6"/>
  <c r="P17" i="6"/>
  <c r="F21" i="6"/>
  <c r="J17" i="13"/>
  <c r="H21" i="6"/>
  <c r="P14" i="6"/>
  <c r="P352" i="5"/>
  <c r="G21" i="6"/>
  <c r="J16" i="13"/>
  <c r="P8" i="6"/>
  <c r="F17" i="13"/>
  <c r="H17" i="13"/>
  <c r="L21" i="6"/>
  <c r="I17" i="13"/>
  <c r="J21" i="6"/>
  <c r="M21" i="6"/>
  <c r="P18" i="6"/>
  <c r="M16" i="13"/>
  <c r="L16" i="13"/>
  <c r="K16" i="13"/>
  <c r="P13" i="6"/>
  <c r="K21" i="6"/>
  <c r="P10" i="6"/>
  <c r="K17" i="13"/>
  <c r="P12" i="6"/>
  <c r="I21" i="6"/>
  <c r="H16" i="13"/>
  <c r="N16" i="13"/>
  <c r="N17" i="13"/>
  <c r="N21" i="6"/>
  <c r="G16" i="13"/>
  <c r="F19" i="6"/>
  <c r="F16" i="13"/>
  <c r="F15" i="6"/>
  <c r="P16" i="6"/>
  <c r="I16" i="13"/>
  <c r="M17" i="13"/>
  <c r="E15" i="6"/>
  <c r="E11" i="6"/>
  <c r="E19" i="6"/>
  <c r="F409" i="5"/>
  <c r="P409" i="5"/>
  <c r="P466" i="5"/>
  <c r="D466" i="5"/>
  <c r="F371" i="5"/>
  <c r="P371" i="5"/>
  <c r="E390" i="5"/>
  <c r="D390" i="5"/>
  <c r="D389" i="5"/>
  <c r="E410" i="5"/>
  <c r="F410" i="5"/>
  <c r="P410" i="5"/>
  <c r="D409" i="5"/>
  <c r="E372" i="5"/>
  <c r="D372" i="5"/>
  <c r="D371" i="5"/>
  <c r="D380" i="5"/>
  <c r="E17" i="13"/>
  <c r="E16" i="13"/>
  <c r="M500" i="6"/>
  <c r="O184" i="6"/>
  <c r="M547" i="6"/>
  <c r="K500" i="6"/>
  <c r="H15" i="13"/>
  <c r="J15" i="13"/>
  <c r="L15" i="13"/>
  <c r="G15" i="13"/>
  <c r="F15" i="13"/>
  <c r="M15" i="13"/>
  <c r="D376" i="5"/>
  <c r="F407" i="5"/>
  <c r="P407" i="5"/>
  <c r="D407" i="5"/>
  <c r="F368" i="5"/>
  <c r="P368" i="5"/>
  <c r="D368" i="5"/>
  <c r="F406" i="5"/>
  <c r="P406" i="5"/>
  <c r="D406" i="5"/>
  <c r="F408" i="5"/>
  <c r="P408" i="5"/>
  <c r="D408" i="5"/>
  <c r="F370" i="5"/>
  <c r="P370" i="5"/>
  <c r="F369" i="5"/>
  <c r="P369" i="5"/>
  <c r="F387" i="5"/>
  <c r="P387" i="5"/>
  <c r="F388" i="5"/>
  <c r="P388" i="5"/>
  <c r="F386" i="5"/>
  <c r="P386" i="5"/>
  <c r="F389" i="5"/>
  <c r="P389" i="5"/>
  <c r="P35" i="5"/>
  <c r="P36" i="13"/>
  <c r="N641" i="6"/>
  <c r="L641" i="6"/>
  <c r="N640" i="6"/>
  <c r="E98" i="6"/>
  <c r="E117" i="6"/>
  <c r="M398" i="5"/>
  <c r="D398" i="5"/>
  <c r="M394" i="5"/>
  <c r="P394" i="5"/>
  <c r="F104" i="6"/>
  <c r="F123" i="6"/>
  <c r="M396" i="5"/>
  <c r="D396" i="5"/>
  <c r="L402" i="5"/>
  <c r="D401" i="5"/>
  <c r="P401" i="5"/>
  <c r="F96" i="6"/>
  <c r="F115" i="6"/>
  <c r="P286" i="6"/>
  <c r="M363" i="5"/>
  <c r="D359" i="5"/>
  <c r="P350" i="6"/>
  <c r="P382" i="6"/>
  <c r="P271" i="6"/>
  <c r="P333" i="6"/>
  <c r="P364" i="6"/>
  <c r="P365" i="6"/>
  <c r="M342" i="6"/>
  <c r="P334" i="6"/>
  <c r="J184" i="6"/>
  <c r="O547" i="6"/>
  <c r="K546" i="6"/>
  <c r="M641" i="6"/>
  <c r="P254" i="6"/>
  <c r="P366" i="6"/>
  <c r="P363" i="6"/>
  <c r="P253" i="6"/>
  <c r="P287" i="6"/>
  <c r="P255" i="6"/>
  <c r="P252" i="6"/>
  <c r="E15" i="13"/>
  <c r="P284" i="6"/>
  <c r="P648" i="6"/>
  <c r="L344" i="6"/>
  <c r="P601" i="6"/>
  <c r="P332" i="6"/>
  <c r="P331" i="6"/>
  <c r="P285" i="6"/>
  <c r="P251" i="6"/>
  <c r="P207" i="6"/>
  <c r="P362" i="6"/>
  <c r="L186" i="6"/>
  <c r="P283" i="6"/>
  <c r="P175" i="6"/>
  <c r="P176" i="6"/>
  <c r="J342" i="6"/>
  <c r="J640" i="6"/>
  <c r="P303" i="6"/>
  <c r="P270" i="6"/>
  <c r="P349" i="6"/>
  <c r="P208" i="6"/>
  <c r="P205" i="6"/>
  <c r="P330" i="6"/>
  <c r="P172" i="6"/>
  <c r="P173" i="6"/>
  <c r="P522" i="6"/>
  <c r="M169" i="6"/>
  <c r="O169" i="6"/>
  <c r="O344" i="6"/>
  <c r="O328" i="6"/>
  <c r="M499" i="6"/>
  <c r="P659" i="6"/>
  <c r="K342" i="6"/>
  <c r="N186" i="6"/>
  <c r="P567" i="6"/>
  <c r="O500" i="6"/>
  <c r="L343" i="6"/>
  <c r="P570" i="6"/>
  <c r="P204" i="6"/>
  <c r="P617" i="6"/>
  <c r="N327" i="6"/>
  <c r="P206" i="6"/>
  <c r="J168" i="6"/>
  <c r="P664" i="6"/>
  <c r="N406" i="6"/>
  <c r="N343" i="6"/>
  <c r="P359" i="5"/>
  <c r="E105" i="6"/>
  <c r="E124" i="6"/>
  <c r="O69" i="6"/>
  <c r="F98" i="6"/>
  <c r="F117" i="6"/>
  <c r="F105" i="6"/>
  <c r="F124" i="6"/>
  <c r="I65" i="6"/>
  <c r="I73" i="6"/>
  <c r="F73" i="6"/>
  <c r="F61" i="6"/>
  <c r="E97" i="6"/>
  <c r="E116" i="6"/>
  <c r="H61" i="6"/>
  <c r="M71" i="6"/>
  <c r="P646" i="6"/>
  <c r="I69" i="6"/>
  <c r="D377" i="5"/>
  <c r="M343" i="6"/>
  <c r="M397" i="5"/>
  <c r="P397" i="5"/>
  <c r="M382" i="5"/>
  <c r="D382" i="5"/>
  <c r="P595" i="6"/>
  <c r="P642" i="6"/>
  <c r="P565" i="6"/>
  <c r="P645" i="6"/>
  <c r="P660" i="6"/>
  <c r="N326" i="6"/>
  <c r="N547" i="6"/>
  <c r="P459" i="6"/>
  <c r="K499" i="6"/>
  <c r="M395" i="5"/>
  <c r="P395" i="5"/>
  <c r="P568" i="6"/>
  <c r="P553" i="6"/>
  <c r="P564" i="6"/>
  <c r="J546" i="6"/>
  <c r="P615" i="6"/>
  <c r="P548" i="6"/>
  <c r="P429" i="6"/>
  <c r="P506" i="6"/>
  <c r="E25" i="10"/>
  <c r="E306" i="5"/>
  <c r="P475" i="6"/>
  <c r="P598" i="6"/>
  <c r="M399" i="5"/>
  <c r="P399" i="5"/>
  <c r="P223" i="6"/>
  <c r="M400" i="5"/>
  <c r="D400" i="5"/>
  <c r="P643" i="6"/>
  <c r="P661" i="6"/>
  <c r="P302" i="6"/>
  <c r="P600" i="6"/>
  <c r="P62" i="6"/>
  <c r="M393" i="5"/>
  <c r="I72" i="6"/>
  <c r="P523" i="6"/>
  <c r="P503" i="6"/>
  <c r="P505" i="6"/>
  <c r="P507" i="6"/>
  <c r="P428" i="6"/>
  <c r="P423" i="6"/>
  <c r="P518" i="6"/>
  <c r="P412" i="6"/>
  <c r="P472" i="6"/>
  <c r="P460" i="6"/>
  <c r="P474" i="6"/>
  <c r="P501" i="6"/>
  <c r="P476" i="6"/>
  <c r="N405" i="6"/>
  <c r="P504" i="6"/>
  <c r="P470" i="6"/>
  <c r="K406" i="6"/>
  <c r="P348" i="6"/>
  <c r="P301" i="6"/>
  <c r="N342" i="6"/>
  <c r="N184" i="6"/>
  <c r="M185" i="6"/>
  <c r="L169" i="6"/>
  <c r="L185" i="6"/>
  <c r="P407" i="6"/>
  <c r="O327" i="6"/>
  <c r="P426" i="6"/>
  <c r="P190" i="6"/>
  <c r="P424" i="6"/>
  <c r="O185" i="6"/>
  <c r="P269" i="6"/>
  <c r="M328" i="6"/>
  <c r="P381" i="6"/>
  <c r="M345" i="6"/>
  <c r="L184" i="6"/>
  <c r="M186" i="6"/>
  <c r="F72" i="6"/>
  <c r="N71" i="6"/>
  <c r="F97" i="6"/>
  <c r="F116" i="6"/>
  <c r="G72" i="6"/>
  <c r="H69" i="6"/>
  <c r="P67" i="6"/>
  <c r="H71" i="6"/>
  <c r="P64" i="6"/>
  <c r="P471" i="6"/>
  <c r="J73" i="6"/>
  <c r="P411" i="6"/>
  <c r="K168" i="6"/>
  <c r="N169" i="6"/>
  <c r="M168" i="6"/>
  <c r="M184" i="6"/>
  <c r="P58" i="6"/>
  <c r="J61" i="6"/>
  <c r="H73" i="6"/>
  <c r="P66" i="6"/>
  <c r="O188" i="6"/>
  <c r="N187" i="6"/>
  <c r="L168" i="6"/>
  <c r="L170" i="6"/>
  <c r="N188" i="6"/>
  <c r="O189" i="6"/>
  <c r="K169" i="6"/>
  <c r="M187" i="6"/>
  <c r="E73" i="6"/>
  <c r="J326" i="6"/>
  <c r="N346" i="6"/>
  <c r="O347" i="6"/>
  <c r="L328" i="6"/>
  <c r="K327" i="6"/>
  <c r="M65" i="6"/>
  <c r="M170" i="6"/>
  <c r="O187" i="6"/>
  <c r="N345" i="6"/>
  <c r="K326" i="6"/>
  <c r="O346" i="6"/>
  <c r="M344" i="6"/>
  <c r="E106" i="6"/>
  <c r="E125" i="6"/>
  <c r="J72" i="6"/>
  <c r="M69" i="6"/>
  <c r="J69" i="6"/>
  <c r="N65" i="6"/>
  <c r="P174" i="6"/>
  <c r="P520" i="6"/>
  <c r="P458" i="6"/>
  <c r="N185" i="6"/>
  <c r="O326" i="6"/>
  <c r="O342" i="6"/>
  <c r="E69" i="6"/>
  <c r="J65" i="6"/>
  <c r="F106" i="6"/>
  <c r="F125" i="6"/>
  <c r="P517" i="6"/>
  <c r="P425" i="6"/>
  <c r="L326" i="6"/>
  <c r="N344" i="6"/>
  <c r="M327" i="6"/>
  <c r="N328" i="6"/>
  <c r="O345" i="6"/>
  <c r="O71" i="6"/>
  <c r="M72" i="6"/>
  <c r="O170" i="6"/>
  <c r="P192" i="6"/>
  <c r="P409" i="6"/>
  <c r="D360" i="5"/>
  <c r="P360" i="5"/>
  <c r="P596" i="6"/>
  <c r="G69" i="6"/>
  <c r="D482" i="5"/>
  <c r="D383" i="5"/>
  <c r="P383" i="5"/>
  <c r="P427" i="6"/>
  <c r="K405" i="6"/>
  <c r="P612" i="6"/>
  <c r="P614" i="6"/>
  <c r="E104" i="6"/>
  <c r="E123" i="6"/>
  <c r="J71" i="6"/>
  <c r="F69" i="6"/>
  <c r="P384" i="5"/>
  <c r="D384" i="5"/>
  <c r="P410" i="6"/>
  <c r="L405" i="6"/>
  <c r="P457" i="6"/>
  <c r="P644" i="6"/>
  <c r="P552" i="6"/>
  <c r="P616" i="6"/>
  <c r="P554" i="6"/>
  <c r="D470" i="5"/>
  <c r="E487" i="5"/>
  <c r="P487" i="5"/>
  <c r="P222" i="6"/>
  <c r="F65" i="6"/>
  <c r="P404" i="5"/>
  <c r="D404" i="5"/>
  <c r="P519" i="6"/>
  <c r="E72" i="6"/>
  <c r="P365" i="5"/>
  <c r="D365" i="5"/>
  <c r="P413" i="6"/>
  <c r="P380" i="6"/>
  <c r="P454" i="6"/>
  <c r="P613" i="6"/>
  <c r="P647" i="6"/>
  <c r="P551" i="6"/>
  <c r="P549" i="6"/>
  <c r="G73" i="6"/>
  <c r="P521" i="6"/>
  <c r="P611" i="6"/>
  <c r="P456" i="6"/>
  <c r="P473" i="6"/>
  <c r="L69" i="6"/>
  <c r="P364" i="5"/>
  <c r="D403" i="5"/>
  <c r="P403" i="5"/>
  <c r="P408" i="6"/>
  <c r="P662" i="6"/>
  <c r="P566" i="6"/>
  <c r="P599" i="6"/>
  <c r="P569" i="6"/>
  <c r="P597" i="6"/>
  <c r="F71" i="6"/>
  <c r="P502" i="6"/>
  <c r="P191" i="6"/>
  <c r="D366" i="5"/>
  <c r="P366" i="5"/>
  <c r="P361" i="5"/>
  <c r="P455" i="6"/>
  <c r="P658" i="6"/>
  <c r="P663" i="6"/>
  <c r="P550" i="6"/>
  <c r="L65" i="6"/>
  <c r="K72" i="6"/>
  <c r="H30" i="6"/>
  <c r="M49" i="6"/>
  <c r="F49" i="6"/>
  <c r="M50" i="6"/>
  <c r="O37" i="6"/>
  <c r="M73" i="6"/>
  <c r="J36" i="6"/>
  <c r="K29" i="6"/>
  <c r="N51" i="6"/>
  <c r="I36" i="6"/>
  <c r="J30" i="6"/>
  <c r="I51" i="6"/>
  <c r="M51" i="6"/>
  <c r="G49" i="6"/>
  <c r="L30" i="6"/>
  <c r="F37" i="6"/>
  <c r="K61" i="6"/>
  <c r="G61" i="6"/>
  <c r="O276" i="5"/>
  <c r="P68" i="6"/>
  <c r="J37" i="6"/>
  <c r="N30" i="6"/>
  <c r="N37" i="6"/>
  <c r="F28" i="6"/>
  <c r="L73" i="6"/>
  <c r="M36" i="6"/>
  <c r="N73" i="6"/>
  <c r="N69" i="6"/>
  <c r="O51" i="6"/>
  <c r="N61" i="6"/>
  <c r="J51" i="6"/>
  <c r="G35" i="6"/>
  <c r="M29" i="6"/>
  <c r="F35" i="6"/>
  <c r="G28" i="6"/>
  <c r="M35" i="6"/>
  <c r="M28" i="6"/>
  <c r="J50" i="6"/>
  <c r="J29" i="6"/>
  <c r="O30" i="6"/>
  <c r="L51" i="6"/>
  <c r="K50" i="6"/>
  <c r="M61" i="6"/>
  <c r="K36" i="6"/>
  <c r="L37" i="6"/>
  <c r="O61" i="6"/>
  <c r="F20" i="6"/>
  <c r="F70" i="5"/>
  <c r="M30" i="6"/>
  <c r="N28" i="6"/>
  <c r="N35" i="6"/>
  <c r="K69" i="6"/>
  <c r="M37" i="6"/>
  <c r="I37" i="6"/>
  <c r="I30" i="6"/>
  <c r="P19" i="6"/>
  <c r="H37" i="6"/>
  <c r="H51" i="6"/>
  <c r="I50" i="6"/>
  <c r="I29" i="6"/>
  <c r="N49" i="6"/>
  <c r="N36" i="6"/>
  <c r="N50" i="6"/>
  <c r="N29" i="6"/>
  <c r="O15" i="13"/>
  <c r="F29" i="6"/>
  <c r="F36" i="6"/>
  <c r="F50" i="6"/>
  <c r="J35" i="6"/>
  <c r="J49" i="6"/>
  <c r="J28" i="6"/>
  <c r="O16" i="13"/>
  <c r="H35" i="6"/>
  <c r="H28" i="6"/>
  <c r="H49" i="6"/>
  <c r="F30" i="6"/>
  <c r="F51" i="6"/>
  <c r="P11" i="6"/>
  <c r="O28" i="6"/>
  <c r="O35" i="6"/>
  <c r="O49" i="6"/>
  <c r="O73" i="6"/>
  <c r="P60" i="6"/>
  <c r="O72" i="6"/>
  <c r="P59" i="6"/>
  <c r="I71" i="6"/>
  <c r="I61" i="6"/>
  <c r="L50" i="6"/>
  <c r="L36" i="6"/>
  <c r="L29" i="6"/>
  <c r="N72" i="6"/>
  <c r="K73" i="6"/>
  <c r="O17" i="13"/>
  <c r="K65" i="6"/>
  <c r="H29" i="6"/>
  <c r="H50" i="6"/>
  <c r="H36" i="6"/>
  <c r="N15" i="13"/>
  <c r="H65" i="6"/>
  <c r="L49" i="6"/>
  <c r="L28" i="6"/>
  <c r="L35" i="6"/>
  <c r="H72" i="6"/>
  <c r="O29" i="6"/>
  <c r="P15" i="6"/>
  <c r="O50" i="6"/>
  <c r="O36" i="6"/>
  <c r="K15" i="13"/>
  <c r="G65" i="6"/>
  <c r="K71" i="6"/>
  <c r="L72" i="6"/>
  <c r="G51" i="6"/>
  <c r="G30" i="6"/>
  <c r="G37" i="6"/>
  <c r="I15" i="13"/>
  <c r="K30" i="6"/>
  <c r="K37" i="6"/>
  <c r="K51" i="6"/>
  <c r="G36" i="6"/>
  <c r="G29" i="6"/>
  <c r="G50" i="6"/>
  <c r="L61" i="6"/>
  <c r="L71" i="6"/>
  <c r="I35" i="6"/>
  <c r="I49" i="6"/>
  <c r="I28" i="6"/>
  <c r="O65" i="6"/>
  <c r="P63" i="6"/>
  <c r="K28" i="6"/>
  <c r="K35" i="6"/>
  <c r="K49" i="6"/>
  <c r="G71" i="6"/>
  <c r="E36" i="6"/>
  <c r="E50" i="6"/>
  <c r="E29" i="6"/>
  <c r="E37" i="6"/>
  <c r="E30" i="6"/>
  <c r="E51" i="6"/>
  <c r="E65" i="6"/>
  <c r="E61" i="6"/>
  <c r="E96" i="6"/>
  <c r="E115" i="6"/>
  <c r="E71" i="6"/>
  <c r="E20" i="6"/>
  <c r="E35" i="6"/>
  <c r="E49" i="6"/>
  <c r="E28" i="6"/>
  <c r="F390" i="5"/>
  <c r="P390" i="5"/>
  <c r="F372" i="5"/>
  <c r="P372" i="5"/>
  <c r="D78" i="5"/>
  <c r="D77" i="5"/>
  <c r="D410" i="5"/>
  <c r="N88" i="5"/>
  <c r="F90" i="5"/>
  <c r="E89" i="5"/>
  <c r="J89" i="5"/>
  <c r="N89" i="5"/>
  <c r="N90" i="5"/>
  <c r="E90" i="5"/>
  <c r="K88" i="5"/>
  <c r="F88" i="5"/>
  <c r="L90" i="5"/>
  <c r="F89" i="5"/>
  <c r="I89" i="5"/>
  <c r="E257" i="5"/>
  <c r="E12" i="10"/>
  <c r="E88" i="5"/>
  <c r="L88" i="5"/>
  <c r="J88" i="5"/>
  <c r="H88" i="5"/>
  <c r="H90" i="5"/>
  <c r="G89" i="5"/>
  <c r="I90" i="5"/>
  <c r="H89" i="5"/>
  <c r="F257" i="5"/>
  <c r="F12" i="10"/>
  <c r="M90" i="5"/>
  <c r="J90" i="5"/>
  <c r="M88" i="5"/>
  <c r="G90" i="5"/>
  <c r="L89" i="5"/>
  <c r="G88" i="5"/>
  <c r="K90" i="5"/>
  <c r="I88" i="5"/>
  <c r="K89" i="5"/>
  <c r="M89" i="5"/>
  <c r="P17" i="13"/>
  <c r="P16" i="13"/>
  <c r="F442" i="5"/>
  <c r="G442" i="5"/>
  <c r="N258" i="5"/>
  <c r="M258" i="5"/>
  <c r="P376" i="5"/>
  <c r="E442" i="5"/>
  <c r="E229" i="5"/>
  <c r="N229" i="5"/>
  <c r="H229" i="5"/>
  <c r="M229" i="5"/>
  <c r="I229" i="5"/>
  <c r="L229" i="5"/>
  <c r="F229" i="5"/>
  <c r="J229" i="5"/>
  <c r="G229" i="5"/>
  <c r="O229" i="5"/>
  <c r="K229" i="5"/>
  <c r="P226" i="5"/>
  <c r="P225" i="5"/>
  <c r="P15" i="13"/>
  <c r="H92" i="6"/>
  <c r="P398" i="5"/>
  <c r="D394" i="5"/>
  <c r="P396" i="5"/>
  <c r="D393" i="5"/>
  <c r="M402" i="5"/>
  <c r="D375" i="5"/>
  <c r="D363" i="5"/>
  <c r="P363" i="5"/>
  <c r="O277" i="5"/>
  <c r="D395" i="5"/>
  <c r="D397" i="5"/>
  <c r="E92" i="6"/>
  <c r="P400" i="5"/>
  <c r="P393" i="5"/>
  <c r="P382" i="5"/>
  <c r="E136" i="6"/>
  <c r="N90" i="6"/>
  <c r="F109" i="6"/>
  <c r="H90" i="6"/>
  <c r="J91" i="6"/>
  <c r="H111" i="6"/>
  <c r="J92" i="6"/>
  <c r="P299" i="6"/>
  <c r="P300" i="6"/>
  <c r="P296" i="6"/>
  <c r="P297" i="6"/>
  <c r="F295" i="6"/>
  <c r="P295" i="6"/>
  <c r="P298" i="6"/>
  <c r="F306" i="6"/>
  <c r="F128" i="6"/>
  <c r="M92" i="6"/>
  <c r="G92" i="6"/>
  <c r="F111" i="6"/>
  <c r="G111" i="6"/>
  <c r="E110" i="6"/>
  <c r="M110" i="6"/>
  <c r="I91" i="6"/>
  <c r="M90" i="6"/>
  <c r="J110" i="6"/>
  <c r="J128" i="6"/>
  <c r="M109" i="6"/>
  <c r="I110" i="6"/>
  <c r="P377" i="5"/>
  <c r="I92" i="6"/>
  <c r="P375" i="5"/>
  <c r="D399" i="5"/>
  <c r="O92" i="6"/>
  <c r="G91" i="6"/>
  <c r="P105" i="6"/>
  <c r="P96" i="6"/>
  <c r="P81" i="6"/>
  <c r="P100" i="6"/>
  <c r="P85" i="6"/>
  <c r="F91" i="6"/>
  <c r="O90" i="6"/>
  <c r="P83" i="6"/>
  <c r="P71" i="6"/>
  <c r="J70" i="6"/>
  <c r="E107" i="6"/>
  <c r="P77" i="6"/>
  <c r="O109" i="6"/>
  <c r="F110" i="6"/>
  <c r="F99" i="6"/>
  <c r="F160" i="6"/>
  <c r="F92" i="6"/>
  <c r="F126" i="6"/>
  <c r="F632" i="6"/>
  <c r="F107" i="6"/>
  <c r="M91" i="6"/>
  <c r="N109" i="6"/>
  <c r="P86" i="6"/>
  <c r="H109" i="6"/>
  <c r="E111" i="6"/>
  <c r="F90" i="6"/>
  <c r="P104" i="6"/>
  <c r="G110" i="6"/>
  <c r="F70" i="6"/>
  <c r="I111" i="6"/>
  <c r="O128" i="6"/>
  <c r="H128" i="6"/>
  <c r="E91" i="6"/>
  <c r="O88" i="5"/>
  <c r="J109" i="6"/>
  <c r="J90" i="6"/>
  <c r="P102" i="6"/>
  <c r="M128" i="6"/>
  <c r="J111" i="6"/>
  <c r="P63" i="13"/>
  <c r="E488" i="5"/>
  <c r="P488" i="5"/>
  <c r="J129" i="6"/>
  <c r="P101" i="6"/>
  <c r="H110" i="6"/>
  <c r="L110" i="6"/>
  <c r="O110" i="6"/>
  <c r="K111" i="6"/>
  <c r="L70" i="6"/>
  <c r="H70" i="6"/>
  <c r="L44" i="6"/>
  <c r="P65" i="6"/>
  <c r="F44" i="6"/>
  <c r="M70" i="6"/>
  <c r="J44" i="6"/>
  <c r="I109" i="6"/>
  <c r="M52" i="6"/>
  <c r="M54" i="6"/>
  <c r="N128" i="6"/>
  <c r="L90" i="6"/>
  <c r="G70" i="6"/>
  <c r="H44" i="6"/>
  <c r="I43" i="6"/>
  <c r="O44" i="6"/>
  <c r="E118" i="6"/>
  <c r="F118" i="6"/>
  <c r="F538" i="6"/>
  <c r="K43" i="6"/>
  <c r="J43" i="6"/>
  <c r="L92" i="6"/>
  <c r="L130" i="6"/>
  <c r="H129" i="6"/>
  <c r="O129" i="6"/>
  <c r="P69" i="6"/>
  <c r="P87" i="6"/>
  <c r="F42" i="6"/>
  <c r="J38" i="6"/>
  <c r="J40" i="6"/>
  <c r="L111" i="6"/>
  <c r="N92" i="6"/>
  <c r="O242" i="5"/>
  <c r="M129" i="6"/>
  <c r="O15" i="5"/>
  <c r="O16" i="5"/>
  <c r="P106" i="6"/>
  <c r="E44" i="6"/>
  <c r="M42" i="6"/>
  <c r="N70" i="6"/>
  <c r="N44" i="6"/>
  <c r="I18" i="13"/>
  <c r="I19" i="13"/>
  <c r="K31" i="6"/>
  <c r="K33" i="6"/>
  <c r="F258" i="5"/>
  <c r="F15" i="5"/>
  <c r="F16" i="5"/>
  <c r="O258" i="5"/>
  <c r="F18" i="13"/>
  <c r="F19" i="13"/>
  <c r="J31" i="6"/>
  <c r="J33" i="6"/>
  <c r="P30" i="6"/>
  <c r="O18" i="13"/>
  <c r="O19" i="13"/>
  <c r="K70" i="6"/>
  <c r="F242" i="5"/>
  <c r="M43" i="6"/>
  <c r="O52" i="6"/>
  <c r="O54" i="6"/>
  <c r="G109" i="6"/>
  <c r="I90" i="6"/>
  <c r="F38" i="6"/>
  <c r="F40" i="6"/>
  <c r="P61" i="6"/>
  <c r="I44" i="6"/>
  <c r="G42" i="6"/>
  <c r="M111" i="6"/>
  <c r="G242" i="5"/>
  <c r="M38" i="6"/>
  <c r="M40" i="6"/>
  <c r="K90" i="6"/>
  <c r="I242" i="5"/>
  <c r="G258" i="5"/>
  <c r="M31" i="6"/>
  <c r="M33" i="6"/>
  <c r="N111" i="6"/>
  <c r="I258" i="5"/>
  <c r="O111" i="6"/>
  <c r="J52" i="6"/>
  <c r="J54" i="6"/>
  <c r="P79" i="6"/>
  <c r="K110" i="6"/>
  <c r="O38" i="6"/>
  <c r="O40" i="6"/>
  <c r="L52" i="6"/>
  <c r="L54" i="6"/>
  <c r="N15" i="5"/>
  <c r="N16" i="5"/>
  <c r="O70" i="6"/>
  <c r="I15" i="5"/>
  <c r="I16" i="5"/>
  <c r="G38" i="6"/>
  <c r="G40" i="6"/>
  <c r="H38" i="6"/>
  <c r="H40" i="6"/>
  <c r="I31" i="6"/>
  <c r="I33" i="6"/>
  <c r="N52" i="6"/>
  <c r="N54" i="6"/>
  <c r="G18" i="13"/>
  <c r="G19" i="13"/>
  <c r="L38" i="6"/>
  <c r="L40" i="6"/>
  <c r="N38" i="6"/>
  <c r="N40" i="6"/>
  <c r="G44" i="6"/>
  <c r="G15" i="5"/>
  <c r="G16" i="5"/>
  <c r="P98" i="6"/>
  <c r="N42" i="6"/>
  <c r="M242" i="5"/>
  <c r="K92" i="6"/>
  <c r="M44" i="6"/>
  <c r="M15" i="5"/>
  <c r="M16" i="5"/>
  <c r="N31" i="6"/>
  <c r="N33" i="6"/>
  <c r="I52" i="6"/>
  <c r="I54" i="6"/>
  <c r="H52" i="6"/>
  <c r="H54" i="6"/>
  <c r="P78" i="6"/>
  <c r="N110" i="6"/>
  <c r="I42" i="6"/>
  <c r="L43" i="6"/>
  <c r="M18" i="13"/>
  <c r="M19" i="13"/>
  <c r="P97" i="6"/>
  <c r="L109" i="6"/>
  <c r="H130" i="6"/>
  <c r="N91" i="6"/>
  <c r="I38" i="6"/>
  <c r="I40" i="6"/>
  <c r="F52" i="6"/>
  <c r="F54" i="6"/>
  <c r="O42" i="6"/>
  <c r="K109" i="6"/>
  <c r="N18" i="13"/>
  <c r="N19" i="13"/>
  <c r="P434" i="5"/>
  <c r="P82" i="6"/>
  <c r="F43" i="6"/>
  <c r="O91" i="6"/>
  <c r="K42" i="6"/>
  <c r="K44" i="6"/>
  <c r="L91" i="6"/>
  <c r="H31" i="6"/>
  <c r="H33" i="6"/>
  <c r="H42" i="6"/>
  <c r="J242" i="5"/>
  <c r="J258" i="5"/>
  <c r="J15" i="5"/>
  <c r="J16" i="5"/>
  <c r="J18" i="13"/>
  <c r="J19" i="13"/>
  <c r="H91" i="6"/>
  <c r="E43" i="6"/>
  <c r="K38" i="6"/>
  <c r="K40" i="6"/>
  <c r="G90" i="6"/>
  <c r="H43" i="6"/>
  <c r="I70" i="6"/>
  <c r="O89" i="5"/>
  <c r="P72" i="6"/>
  <c r="J42" i="6"/>
  <c r="O90" i="5"/>
  <c r="P73" i="6"/>
  <c r="G43" i="6"/>
  <c r="G31" i="6"/>
  <c r="G33" i="6"/>
  <c r="G52" i="6"/>
  <c r="G54" i="6"/>
  <c r="K52" i="6"/>
  <c r="K54" i="6"/>
  <c r="P29" i="6"/>
  <c r="O43" i="6"/>
  <c r="N242" i="5"/>
  <c r="L15" i="5"/>
  <c r="L16" i="5"/>
  <c r="L258" i="5"/>
  <c r="L18" i="13"/>
  <c r="L19" i="13"/>
  <c r="L242" i="5"/>
  <c r="P28" i="6"/>
  <c r="O31" i="6"/>
  <c r="H18" i="13"/>
  <c r="H19" i="13"/>
  <c r="H258" i="5"/>
  <c r="H242" i="5"/>
  <c r="H15" i="5"/>
  <c r="H16" i="5"/>
  <c r="K18" i="13"/>
  <c r="K19" i="13"/>
  <c r="K15" i="5"/>
  <c r="K16" i="5"/>
  <c r="K242" i="5"/>
  <c r="K258" i="5"/>
  <c r="L42" i="6"/>
  <c r="L31" i="6"/>
  <c r="L33" i="6"/>
  <c r="K91" i="6"/>
  <c r="N43" i="6"/>
  <c r="F31" i="6"/>
  <c r="F33" i="6"/>
  <c r="E31" i="6"/>
  <c r="E52" i="6"/>
  <c r="E54" i="6"/>
  <c r="E99" i="6"/>
  <c r="E109" i="6"/>
  <c r="E70" i="6"/>
  <c r="E18" i="13"/>
  <c r="E19" i="13"/>
  <c r="E15" i="5"/>
  <c r="E16" i="5"/>
  <c r="E258" i="5"/>
  <c r="E242" i="5"/>
  <c r="E126" i="6"/>
  <c r="G129" i="6"/>
  <c r="I130" i="6"/>
  <c r="E130" i="6"/>
  <c r="L129" i="6"/>
  <c r="E42" i="6"/>
  <c r="E90" i="6"/>
  <c r="F129" i="6"/>
  <c r="E38" i="6"/>
  <c r="E40" i="6"/>
  <c r="E129" i="6"/>
  <c r="F651" i="6"/>
  <c r="F667" i="6"/>
  <c r="P280" i="6"/>
  <c r="P281" i="6"/>
  <c r="F279" i="6"/>
  <c r="P279" i="6"/>
  <c r="P282" i="6"/>
  <c r="F290" i="6"/>
  <c r="P267" i="6"/>
  <c r="P268" i="6"/>
  <c r="P264" i="6"/>
  <c r="P265" i="6"/>
  <c r="F263" i="6"/>
  <c r="P263" i="6"/>
  <c r="P266" i="6"/>
  <c r="F274" i="6"/>
  <c r="P248" i="6"/>
  <c r="P249" i="6"/>
  <c r="P250" i="6"/>
  <c r="F247" i="6"/>
  <c r="P247" i="6"/>
  <c r="F258" i="6"/>
  <c r="F13" i="5"/>
  <c r="E13" i="5"/>
  <c r="P39" i="13"/>
  <c r="P431" i="5"/>
  <c r="P441" i="5"/>
  <c r="P438" i="5"/>
  <c r="P442" i="5"/>
  <c r="P436" i="5"/>
  <c r="P435" i="5"/>
  <c r="P432" i="5"/>
  <c r="P437" i="5"/>
  <c r="P440" i="5"/>
  <c r="P439" i="5"/>
  <c r="P433" i="5"/>
  <c r="E91" i="5"/>
  <c r="I91" i="5"/>
  <c r="F91" i="5"/>
  <c r="G91" i="5"/>
  <c r="L91" i="5"/>
  <c r="H91" i="5"/>
  <c r="J91" i="5"/>
  <c r="N91" i="5"/>
  <c r="K91" i="5"/>
  <c r="M91" i="5"/>
  <c r="M259" i="5"/>
  <c r="K259" i="5"/>
  <c r="F259" i="5"/>
  <c r="N259" i="5"/>
  <c r="P90" i="5"/>
  <c r="E318" i="6"/>
  <c r="I259" i="5"/>
  <c r="L259" i="5"/>
  <c r="M21" i="13"/>
  <c r="H259" i="5"/>
  <c r="P88" i="5"/>
  <c r="O259" i="5"/>
  <c r="P89" i="5"/>
  <c r="J259" i="5"/>
  <c r="G259" i="5"/>
  <c r="E33" i="6"/>
  <c r="D256" i="5"/>
  <c r="P12" i="10"/>
  <c r="P229" i="5"/>
  <c r="P258" i="5"/>
  <c r="P15" i="5"/>
  <c r="P19" i="13"/>
  <c r="P18" i="13"/>
  <c r="P402" i="5"/>
  <c r="D402" i="5"/>
  <c r="D381" i="5"/>
  <c r="P381" i="5"/>
  <c r="F444" i="6"/>
  <c r="I728" i="6"/>
  <c r="I730" i="6"/>
  <c r="I731" i="6"/>
  <c r="I142" i="6"/>
  <c r="F142" i="6"/>
  <c r="I129" i="6"/>
  <c r="P115" i="6"/>
  <c r="P92" i="6"/>
  <c r="P125" i="6"/>
  <c r="P90" i="6"/>
  <c r="P124" i="6"/>
  <c r="P121" i="6"/>
  <c r="G133" i="5"/>
  <c r="E491" i="6"/>
  <c r="H108" i="6"/>
  <c r="I732" i="6"/>
  <c r="I734" i="6"/>
  <c r="I735" i="6"/>
  <c r="P109" i="6"/>
  <c r="F141" i="6"/>
  <c r="G130" i="6"/>
  <c r="P88" i="6"/>
  <c r="F397" i="6"/>
  <c r="P123" i="6"/>
  <c r="F108" i="6"/>
  <c r="J130" i="6"/>
  <c r="F130" i="6"/>
  <c r="F318" i="6"/>
  <c r="F385" i="6"/>
  <c r="F491" i="6"/>
  <c r="J728" i="6"/>
  <c r="J730" i="6"/>
  <c r="J731" i="6"/>
  <c r="J142" i="6"/>
  <c r="P119" i="6"/>
  <c r="M130" i="6"/>
  <c r="J108" i="6"/>
  <c r="J732" i="6"/>
  <c r="J734" i="6"/>
  <c r="J735" i="6"/>
  <c r="K129" i="6"/>
  <c r="P103" i="6"/>
  <c r="F148" i="6"/>
  <c r="N130" i="6"/>
  <c r="F724" i="6"/>
  <c r="F726" i="6"/>
  <c r="F727" i="6"/>
  <c r="J148" i="6"/>
  <c r="M142" i="6"/>
  <c r="G128" i="6"/>
  <c r="P117" i="6"/>
  <c r="F732" i="6"/>
  <c r="F734" i="6"/>
  <c r="F735" i="6"/>
  <c r="F728" i="6"/>
  <c r="F730" i="6"/>
  <c r="F731" i="6"/>
  <c r="H20" i="13"/>
  <c r="P110" i="6"/>
  <c r="H141" i="6"/>
  <c r="I148" i="6"/>
  <c r="H732" i="6"/>
  <c r="H734" i="6"/>
  <c r="H735" i="6"/>
  <c r="F114" i="5"/>
  <c r="F154" i="6"/>
  <c r="I21" i="13"/>
  <c r="J351" i="11"/>
  <c r="J353" i="11"/>
  <c r="J443" i="11"/>
  <c r="N129" i="6"/>
  <c r="G351" i="11"/>
  <c r="G353" i="11"/>
  <c r="G443" i="11"/>
  <c r="P120" i="6"/>
  <c r="H115" i="11"/>
  <c r="H23" i="11"/>
  <c r="L128" i="6"/>
  <c r="I149" i="6"/>
  <c r="I351" i="11"/>
  <c r="I353" i="11"/>
  <c r="I443" i="11"/>
  <c r="N189" i="11"/>
  <c r="N279" i="11"/>
  <c r="N187" i="11"/>
  <c r="E351" i="11"/>
  <c r="E353" i="11"/>
  <c r="E443" i="11"/>
  <c r="G728" i="6"/>
  <c r="G730" i="6"/>
  <c r="G731" i="6"/>
  <c r="F127" i="6"/>
  <c r="F137" i="6"/>
  <c r="F23" i="13"/>
  <c r="F351" i="11"/>
  <c r="F353" i="11"/>
  <c r="F443" i="11"/>
  <c r="H149" i="6"/>
  <c r="H353" i="11"/>
  <c r="H443" i="11"/>
  <c r="H351" i="11"/>
  <c r="L143" i="6"/>
  <c r="L353" i="11"/>
  <c r="L443" i="11"/>
  <c r="L351" i="11"/>
  <c r="F21" i="13"/>
  <c r="K108" i="6"/>
  <c r="H724" i="6"/>
  <c r="H726" i="6"/>
  <c r="H727" i="6"/>
  <c r="N21" i="13"/>
  <c r="G127" i="6"/>
  <c r="I108" i="6"/>
  <c r="O130" i="6"/>
  <c r="M353" i="11"/>
  <c r="M443" i="11"/>
  <c r="M351" i="11"/>
  <c r="N142" i="6"/>
  <c r="K353" i="11"/>
  <c r="K443" i="11"/>
  <c r="K351" i="11"/>
  <c r="F25" i="11"/>
  <c r="F115" i="11"/>
  <c r="F23" i="11"/>
  <c r="F20" i="13"/>
  <c r="F113" i="5"/>
  <c r="F153" i="6"/>
  <c r="I187" i="11"/>
  <c r="I189" i="11"/>
  <c r="I279" i="11"/>
  <c r="M187" i="11"/>
  <c r="M189" i="11"/>
  <c r="M279" i="11"/>
  <c r="O351" i="11"/>
  <c r="O353" i="11"/>
  <c r="O443" i="11"/>
  <c r="F189" i="11"/>
  <c r="F279" i="11"/>
  <c r="F187" i="11"/>
  <c r="E128" i="6"/>
  <c r="F147" i="6"/>
  <c r="O732" i="6"/>
  <c r="O734" i="6"/>
  <c r="P116" i="6"/>
  <c r="J45" i="6"/>
  <c r="J47" i="6"/>
  <c r="K732" i="6"/>
  <c r="K734" i="6"/>
  <c r="K735" i="6"/>
  <c r="M115" i="11"/>
  <c r="M23" i="11"/>
  <c r="J187" i="11"/>
  <c r="J189" i="11"/>
  <c r="J279" i="11"/>
  <c r="J21" i="13"/>
  <c r="K130" i="6"/>
  <c r="P107" i="6"/>
  <c r="F45" i="6"/>
  <c r="F47" i="6"/>
  <c r="P70" i="6"/>
  <c r="M20" i="13"/>
  <c r="G108" i="6"/>
  <c r="M45" i="6"/>
  <c r="M47" i="6"/>
  <c r="I128" i="6"/>
  <c r="P111" i="6"/>
  <c r="P80" i="6"/>
  <c r="M108" i="6"/>
  <c r="O108" i="6"/>
  <c r="I143" i="6"/>
  <c r="I45" i="6"/>
  <c r="I47" i="6"/>
  <c r="P52" i="6"/>
  <c r="P54" i="6"/>
  <c r="O45" i="6"/>
  <c r="O47" i="6"/>
  <c r="M141" i="6"/>
  <c r="K149" i="6"/>
  <c r="P99" i="6"/>
  <c r="L724" i="6"/>
  <c r="L726" i="6"/>
  <c r="L727" i="6"/>
  <c r="N45" i="6"/>
  <c r="N47" i="6"/>
  <c r="G45" i="6"/>
  <c r="G47" i="6"/>
  <c r="P38" i="6"/>
  <c r="P40" i="6"/>
  <c r="O91" i="5"/>
  <c r="H45" i="6"/>
  <c r="H47" i="6"/>
  <c r="H147" i="6"/>
  <c r="K728" i="6"/>
  <c r="K730" i="6"/>
  <c r="K731" i="6"/>
  <c r="L108" i="6"/>
  <c r="N108" i="6"/>
  <c r="P91" i="6"/>
  <c r="K45" i="6"/>
  <c r="K47" i="6"/>
  <c r="P84" i="6"/>
  <c r="P242" i="5"/>
  <c r="L45" i="6"/>
  <c r="L47" i="6"/>
  <c r="P257" i="5"/>
  <c r="O33" i="6"/>
  <c r="P31" i="6"/>
  <c r="P33" i="6"/>
  <c r="K128" i="6"/>
  <c r="G22" i="13"/>
  <c r="E397" i="6"/>
  <c r="E133" i="5"/>
  <c r="E160" i="6"/>
  <c r="E724" i="6"/>
  <c r="E726" i="6"/>
  <c r="E727" i="6"/>
  <c r="E108" i="6"/>
  <c r="J22" i="13"/>
  <c r="K22" i="13"/>
  <c r="K143" i="6"/>
  <c r="L22" i="13"/>
  <c r="O653" i="6"/>
  <c r="O637" i="6"/>
  <c r="O669" i="6"/>
  <c r="O634" i="6"/>
  <c r="O671" i="6"/>
  <c r="O652" i="6"/>
  <c r="O633" i="6"/>
  <c r="O668" i="6"/>
  <c r="O672" i="6"/>
  <c r="E444" i="6"/>
  <c r="F143" i="6"/>
  <c r="O22" i="13"/>
  <c r="E22" i="13"/>
  <c r="E115" i="5"/>
  <c r="E45" i="6"/>
  <c r="E47" i="6"/>
  <c r="E143" i="6"/>
  <c r="E134" i="6"/>
  <c r="E752" i="6"/>
  <c r="M22" i="13"/>
  <c r="N148" i="6"/>
  <c r="N728" i="6"/>
  <c r="N730" i="6"/>
  <c r="N731" i="6"/>
  <c r="E632" i="6"/>
  <c r="G191" i="5"/>
  <c r="F634" i="6"/>
  <c r="F671" i="6"/>
  <c r="E149" i="6"/>
  <c r="L149" i="6"/>
  <c r="G149" i="6"/>
  <c r="L732" i="6"/>
  <c r="L734" i="6"/>
  <c r="L735" i="6"/>
  <c r="G258" i="6"/>
  <c r="H258" i="6"/>
  <c r="I258" i="6"/>
  <c r="J258" i="6"/>
  <c r="K258" i="6"/>
  <c r="L258" i="6"/>
  <c r="M258" i="6"/>
  <c r="N258" i="6"/>
  <c r="O258" i="6"/>
  <c r="P258" i="6"/>
  <c r="F259" i="6"/>
  <c r="G259" i="6"/>
  <c r="H259" i="6"/>
  <c r="I259" i="6"/>
  <c r="J259" i="6"/>
  <c r="K259" i="6"/>
  <c r="L259" i="6"/>
  <c r="M259" i="6"/>
  <c r="N259" i="6"/>
  <c r="N260" i="6"/>
  <c r="G290" i="6"/>
  <c r="H290" i="6"/>
  <c r="I290" i="6"/>
  <c r="J290" i="6"/>
  <c r="K290" i="6"/>
  <c r="L290" i="6"/>
  <c r="M290" i="6"/>
  <c r="N290" i="6"/>
  <c r="O290" i="6"/>
  <c r="P290" i="6"/>
  <c r="F291" i="6"/>
  <c r="G291" i="6"/>
  <c r="H291" i="6"/>
  <c r="I291" i="6"/>
  <c r="J291" i="6"/>
  <c r="K291" i="6"/>
  <c r="L291" i="6"/>
  <c r="M291" i="6"/>
  <c r="N291" i="6"/>
  <c r="N292" i="6"/>
  <c r="G274" i="6"/>
  <c r="H274" i="6"/>
  <c r="I274" i="6"/>
  <c r="J274" i="6"/>
  <c r="K274" i="6"/>
  <c r="L274" i="6"/>
  <c r="M274" i="6"/>
  <c r="N274" i="6"/>
  <c r="O274" i="6"/>
  <c r="P274" i="6"/>
  <c r="F275" i="6"/>
  <c r="G275" i="6"/>
  <c r="H275" i="6"/>
  <c r="I275" i="6"/>
  <c r="J275" i="6"/>
  <c r="K275" i="6"/>
  <c r="L275" i="6"/>
  <c r="M275" i="6"/>
  <c r="N275" i="6"/>
  <c r="N276" i="6"/>
  <c r="G306" i="6"/>
  <c r="H306" i="6"/>
  <c r="I306" i="6"/>
  <c r="J306" i="6"/>
  <c r="K306" i="6"/>
  <c r="L306" i="6"/>
  <c r="M306" i="6"/>
  <c r="N306" i="6"/>
  <c r="O306" i="6"/>
  <c r="P306" i="6"/>
  <c r="F307" i="6"/>
  <c r="G307" i="6"/>
  <c r="H307" i="6"/>
  <c r="I307" i="6"/>
  <c r="J307" i="6"/>
  <c r="K307" i="6"/>
  <c r="L307" i="6"/>
  <c r="M307" i="6"/>
  <c r="N307" i="6"/>
  <c r="N308" i="6"/>
  <c r="N310" i="6"/>
  <c r="N311" i="6"/>
  <c r="N240" i="6"/>
  <c r="H22" i="13"/>
  <c r="H143" i="6"/>
  <c r="P469" i="6"/>
  <c r="F468" i="6"/>
  <c r="P468" i="6"/>
  <c r="F479" i="6"/>
  <c r="G479" i="6"/>
  <c r="H479" i="6"/>
  <c r="I479" i="6"/>
  <c r="J479" i="6"/>
  <c r="K479" i="6"/>
  <c r="L479" i="6"/>
  <c r="M479" i="6"/>
  <c r="N479" i="6"/>
  <c r="O479" i="6"/>
  <c r="P479" i="6"/>
  <c r="F480" i="6"/>
  <c r="G480" i="6"/>
  <c r="H480" i="6"/>
  <c r="I480" i="6"/>
  <c r="J480" i="6"/>
  <c r="K480" i="6"/>
  <c r="L480" i="6"/>
  <c r="M480" i="6"/>
  <c r="N480" i="6"/>
  <c r="O480" i="6"/>
  <c r="O481" i="6"/>
  <c r="O446" i="6"/>
  <c r="O448" i="6"/>
  <c r="N446" i="6"/>
  <c r="N448" i="6"/>
  <c r="O449" i="6"/>
  <c r="P453" i="6"/>
  <c r="F452" i="6"/>
  <c r="P452" i="6"/>
  <c r="F463" i="6"/>
  <c r="G463" i="6"/>
  <c r="H463" i="6"/>
  <c r="I463" i="6"/>
  <c r="J463" i="6"/>
  <c r="K463" i="6"/>
  <c r="L463" i="6"/>
  <c r="M463" i="6"/>
  <c r="N463" i="6"/>
  <c r="O463" i="6"/>
  <c r="P463" i="6"/>
  <c r="F464" i="6"/>
  <c r="G464" i="6"/>
  <c r="H464" i="6"/>
  <c r="I464" i="6"/>
  <c r="J464" i="6"/>
  <c r="K464" i="6"/>
  <c r="L464" i="6"/>
  <c r="M464" i="6"/>
  <c r="N464" i="6"/>
  <c r="O464" i="6"/>
  <c r="O465" i="6"/>
  <c r="O445" i="6"/>
  <c r="O483" i="6"/>
  <c r="O484" i="6"/>
  <c r="J143" i="6"/>
  <c r="E191" i="5"/>
  <c r="E538" i="6"/>
  <c r="F22" i="13"/>
  <c r="F789" i="6"/>
  <c r="F115" i="5"/>
  <c r="M143" i="6"/>
  <c r="M137" i="6"/>
  <c r="F149" i="6"/>
  <c r="G143" i="6"/>
  <c r="E732" i="6"/>
  <c r="E734" i="6"/>
  <c r="E735" i="6"/>
  <c r="O143" i="6"/>
  <c r="G732" i="6"/>
  <c r="G734" i="6"/>
  <c r="G735" i="6"/>
  <c r="O149" i="6"/>
  <c r="I22" i="13"/>
  <c r="P594" i="6"/>
  <c r="F604" i="6"/>
  <c r="P610" i="6"/>
  <c r="F609" i="6"/>
  <c r="P609" i="6"/>
  <c r="F620" i="6"/>
  <c r="F510" i="6"/>
  <c r="F526" i="6"/>
  <c r="F446" i="6"/>
  <c r="F447" i="6"/>
  <c r="E446" i="6"/>
  <c r="E448" i="6"/>
  <c r="E449" i="6"/>
  <c r="G446" i="6"/>
  <c r="G448" i="6"/>
  <c r="F448" i="6"/>
  <c r="G449" i="6"/>
  <c r="H446" i="6"/>
  <c r="H448" i="6"/>
  <c r="H449" i="6"/>
  <c r="I446" i="6"/>
  <c r="I448" i="6"/>
  <c r="I449" i="6"/>
  <c r="J446" i="6"/>
  <c r="J448" i="6"/>
  <c r="J449" i="6"/>
  <c r="K446" i="6"/>
  <c r="K448" i="6"/>
  <c r="K449" i="6"/>
  <c r="L446" i="6"/>
  <c r="L448" i="6"/>
  <c r="L449" i="6"/>
  <c r="M446" i="6"/>
  <c r="M448" i="6"/>
  <c r="M449" i="6"/>
  <c r="N449" i="6"/>
  <c r="F449" i="6"/>
  <c r="F353" i="6"/>
  <c r="F369" i="6"/>
  <c r="F337" i="6"/>
  <c r="L424" i="11"/>
  <c r="M424" i="11"/>
  <c r="J424" i="11"/>
  <c r="E424" i="11"/>
  <c r="G424" i="11"/>
  <c r="I424" i="11"/>
  <c r="H424" i="11"/>
  <c r="F424" i="11"/>
  <c r="O424" i="11"/>
  <c r="K424" i="11"/>
  <c r="N246" i="11"/>
  <c r="N261" i="11"/>
  <c r="M728" i="6"/>
  <c r="M730" i="6"/>
  <c r="M731" i="6"/>
  <c r="M246" i="11"/>
  <c r="M261" i="11"/>
  <c r="E760" i="6"/>
  <c r="E753" i="6"/>
  <c r="E774" i="6"/>
  <c r="E767" i="6"/>
  <c r="F774" i="6"/>
  <c r="F767" i="6"/>
  <c r="F760" i="6"/>
  <c r="F635" i="6"/>
  <c r="O636" i="6"/>
  <c r="N492" i="6"/>
  <c r="O511" i="6"/>
  <c r="P91" i="5"/>
  <c r="F104" i="5"/>
  <c r="I115" i="11"/>
  <c r="E103" i="5"/>
  <c r="N103" i="5"/>
  <c r="H103" i="5"/>
  <c r="J141" i="6"/>
  <c r="K275" i="5"/>
  <c r="I103" i="5"/>
  <c r="E259" i="5"/>
  <c r="P259" i="5"/>
  <c r="K103" i="5"/>
  <c r="G103" i="5"/>
  <c r="L21" i="13"/>
  <c r="G104" i="5"/>
  <c r="F103" i="5"/>
  <c r="L103" i="5"/>
  <c r="O103" i="5"/>
  <c r="G141" i="6"/>
  <c r="O141" i="6"/>
  <c r="J103" i="5"/>
  <c r="M103" i="5"/>
  <c r="L141" i="6"/>
  <c r="D274" i="5"/>
  <c r="D273" i="5"/>
  <c r="D272" i="5"/>
  <c r="J275" i="5"/>
  <c r="N275" i="5"/>
  <c r="M275" i="5"/>
  <c r="L275" i="5"/>
  <c r="I275" i="5"/>
  <c r="G275" i="5"/>
  <c r="F275" i="5"/>
  <c r="O275" i="5"/>
  <c r="H275" i="5"/>
  <c r="P51" i="13"/>
  <c r="D219" i="5"/>
  <c r="P46" i="13"/>
  <c r="E155" i="6"/>
  <c r="J23" i="11"/>
  <c r="F138" i="5"/>
  <c r="G137" i="5"/>
  <c r="G138" i="5"/>
  <c r="E137" i="5"/>
  <c r="E138" i="5"/>
  <c r="F137" i="5"/>
  <c r="J492" i="6"/>
  <c r="P16" i="5"/>
  <c r="F492" i="6"/>
  <c r="M408" i="11"/>
  <c r="O408" i="11"/>
  <c r="I408" i="11"/>
  <c r="H408" i="11"/>
  <c r="L408" i="11"/>
  <c r="E408" i="11"/>
  <c r="G408" i="11"/>
  <c r="J408" i="11"/>
  <c r="K408" i="11"/>
  <c r="F408" i="11"/>
  <c r="N244" i="11"/>
  <c r="I244" i="11"/>
  <c r="F244" i="11"/>
  <c r="J244" i="11"/>
  <c r="M244" i="11"/>
  <c r="M80" i="11"/>
  <c r="H80" i="11"/>
  <c r="F80" i="11"/>
  <c r="N259" i="11"/>
  <c r="N260" i="11"/>
  <c r="N195" i="11"/>
  <c r="N197" i="11"/>
  <c r="N309" i="11"/>
  <c r="N194" i="11"/>
  <c r="N308" i="11"/>
  <c r="N196" i="11"/>
  <c r="N310" i="11"/>
  <c r="M259" i="11"/>
  <c r="M260" i="11"/>
  <c r="M195" i="11"/>
  <c r="M197" i="11"/>
  <c r="M309" i="11"/>
  <c r="M194" i="11"/>
  <c r="M308" i="11"/>
  <c r="M196" i="11"/>
  <c r="M310" i="11"/>
  <c r="I260" i="11"/>
  <c r="F260" i="11"/>
  <c r="J260" i="11"/>
  <c r="P61" i="13"/>
  <c r="F95" i="11"/>
  <c r="M95" i="11"/>
  <c r="H95" i="11"/>
  <c r="M96" i="11"/>
  <c r="H96" i="11"/>
  <c r="F96" i="11"/>
  <c r="O356" i="11"/>
  <c r="H397" i="11"/>
  <c r="G356" i="11"/>
  <c r="K397" i="11"/>
  <c r="F397" i="11"/>
  <c r="L397" i="11"/>
  <c r="J356" i="11"/>
  <c r="E397" i="11"/>
  <c r="J192" i="11"/>
  <c r="M192" i="11"/>
  <c r="N233" i="11"/>
  <c r="I233" i="11"/>
  <c r="F28" i="11"/>
  <c r="H69" i="11"/>
  <c r="G319" i="6"/>
  <c r="N465" i="6"/>
  <c r="N481" i="6"/>
  <c r="N483" i="6"/>
  <c r="N484" i="6"/>
  <c r="O493" i="6"/>
  <c r="O495" i="6"/>
  <c r="N445" i="6"/>
  <c r="O492" i="6"/>
  <c r="O527" i="6"/>
  <c r="O528" i="6"/>
  <c r="O320" i="6"/>
  <c r="J115" i="11"/>
  <c r="J137" i="6"/>
  <c r="J23" i="13"/>
  <c r="O496" i="6"/>
  <c r="O515" i="6"/>
  <c r="O371" i="6"/>
  <c r="O531" i="6"/>
  <c r="O512" i="6"/>
  <c r="J20" i="13"/>
  <c r="O387" i="6"/>
  <c r="O386" i="6"/>
  <c r="O323" i="6"/>
  <c r="O358" i="6"/>
  <c r="O339" i="6"/>
  <c r="O370" i="6"/>
  <c r="O338" i="6"/>
  <c r="O390" i="6"/>
  <c r="O354" i="6"/>
  <c r="O319" i="6"/>
  <c r="O355" i="6"/>
  <c r="K493" i="6"/>
  <c r="K530" i="6"/>
  <c r="K531" i="6"/>
  <c r="M483" i="6"/>
  <c r="P128" i="6"/>
  <c r="P129" i="6"/>
  <c r="P444" i="6"/>
  <c r="G141" i="5"/>
  <c r="G143" i="5"/>
  <c r="F493" i="6"/>
  <c r="F494" i="6"/>
  <c r="O259" i="6"/>
  <c r="J493" i="6"/>
  <c r="J530" i="6"/>
  <c r="J531" i="6"/>
  <c r="H319" i="6"/>
  <c r="L319" i="6"/>
  <c r="E319" i="6"/>
  <c r="M492" i="6"/>
  <c r="H493" i="6"/>
  <c r="L320" i="6"/>
  <c r="E492" i="6"/>
  <c r="I320" i="6"/>
  <c r="M493" i="6"/>
  <c r="M530" i="6"/>
  <c r="M531" i="6"/>
  <c r="L493" i="6"/>
  <c r="L530" i="6"/>
  <c r="E493" i="6"/>
  <c r="E530" i="6"/>
  <c r="K320" i="6"/>
  <c r="E320" i="6"/>
  <c r="G170" i="5"/>
  <c r="H492" i="6"/>
  <c r="K319" i="6"/>
  <c r="H320" i="6"/>
  <c r="I492" i="6"/>
  <c r="G320" i="6"/>
  <c r="G492" i="6"/>
  <c r="I493" i="6"/>
  <c r="K492" i="6"/>
  <c r="G172" i="5"/>
  <c r="I319" i="6"/>
  <c r="J320" i="6"/>
  <c r="F320" i="6"/>
  <c r="I410" i="11"/>
  <c r="I425" i="11"/>
  <c r="J724" i="6"/>
  <c r="J726" i="6"/>
  <c r="J727" i="6"/>
  <c r="J147" i="6"/>
  <c r="L492" i="6"/>
  <c r="O275" i="6"/>
  <c r="O276" i="6"/>
  <c r="O291" i="6"/>
  <c r="O292" i="6"/>
  <c r="P239" i="6"/>
  <c r="O310" i="6"/>
  <c r="O311" i="6"/>
  <c r="O307" i="6"/>
  <c r="O308" i="6"/>
  <c r="O260" i="6"/>
  <c r="O240" i="6"/>
  <c r="M320" i="6"/>
  <c r="F319" i="6"/>
  <c r="M319" i="6"/>
  <c r="M397" i="11"/>
  <c r="M149" i="6"/>
  <c r="M732" i="6"/>
  <c r="M734" i="6"/>
  <c r="M735" i="6"/>
  <c r="P126" i="6"/>
  <c r="M127" i="6"/>
  <c r="J127" i="6"/>
  <c r="P122" i="6"/>
  <c r="G493" i="6"/>
  <c r="J319" i="6"/>
  <c r="M148" i="6"/>
  <c r="J149" i="6"/>
  <c r="N127" i="6"/>
  <c r="P130" i="6"/>
  <c r="N143" i="6"/>
  <c r="N724" i="6"/>
  <c r="N726" i="6"/>
  <c r="N727" i="6"/>
  <c r="M147" i="6"/>
  <c r="M724" i="6"/>
  <c r="M726" i="6"/>
  <c r="M727" i="6"/>
  <c r="K396" i="11"/>
  <c r="K400" i="11"/>
  <c r="I246" i="11"/>
  <c r="I271" i="11"/>
  <c r="M356" i="11"/>
  <c r="I20" i="13"/>
  <c r="I137" i="6"/>
  <c r="I23" i="13"/>
  <c r="N271" i="11"/>
  <c r="L20" i="13"/>
  <c r="I23" i="11"/>
  <c r="I147" i="6"/>
  <c r="I141" i="6"/>
  <c r="L356" i="11"/>
  <c r="F736" i="6"/>
  <c r="J246" i="11"/>
  <c r="J271" i="11"/>
  <c r="O127" i="6"/>
  <c r="L147" i="6"/>
  <c r="G397" i="11"/>
  <c r="N732" i="6"/>
  <c r="N734" i="6"/>
  <c r="N735" i="6"/>
  <c r="F188" i="11"/>
  <c r="H82" i="11"/>
  <c r="H107" i="11"/>
  <c r="L410" i="11"/>
  <c r="L425" i="11"/>
  <c r="M68" i="11"/>
  <c r="M72" i="11"/>
  <c r="J410" i="11"/>
  <c r="J425" i="11"/>
  <c r="P136" i="6"/>
  <c r="I356" i="11"/>
  <c r="J397" i="11"/>
  <c r="M28" i="11"/>
  <c r="H24" i="11"/>
  <c r="O397" i="11"/>
  <c r="G724" i="6"/>
  <c r="G726" i="6"/>
  <c r="G727" i="6"/>
  <c r="F356" i="11"/>
  <c r="E410" i="11"/>
  <c r="E425" i="11"/>
  <c r="E356" i="11"/>
  <c r="H148" i="6"/>
  <c r="F410" i="11"/>
  <c r="F425" i="11"/>
  <c r="N188" i="11"/>
  <c r="O724" i="6"/>
  <c r="O726" i="6"/>
  <c r="I397" i="11"/>
  <c r="I192" i="11"/>
  <c r="H363" i="11"/>
  <c r="H364" i="11"/>
  <c r="H362" i="11"/>
  <c r="H368" i="11"/>
  <c r="H372" i="11"/>
  <c r="H366" i="11"/>
  <c r="H359" i="11"/>
  <c r="H357" i="11"/>
  <c r="H365" i="11"/>
  <c r="H367" i="11"/>
  <c r="H371" i="11"/>
  <c r="H360" i="11"/>
  <c r="H358" i="11"/>
  <c r="H396" i="11"/>
  <c r="H400" i="11"/>
  <c r="H355" i="11"/>
  <c r="H394" i="11"/>
  <c r="H369" i="11"/>
  <c r="H361" i="11"/>
  <c r="H440" i="11"/>
  <c r="H354" i="11"/>
  <c r="H395" i="11"/>
  <c r="H399" i="11"/>
  <c r="H410" i="11"/>
  <c r="H425" i="11"/>
  <c r="P118" i="6"/>
  <c r="I127" i="6"/>
  <c r="K361" i="11"/>
  <c r="K440" i="11"/>
  <c r="F243" i="11"/>
  <c r="F259" i="11"/>
  <c r="F200" i="11"/>
  <c r="F198" i="11"/>
  <c r="F199" i="11"/>
  <c r="F193" i="11"/>
  <c r="F195" i="11"/>
  <c r="F201" i="11"/>
  <c r="F194" i="11"/>
  <c r="F230" i="11"/>
  <c r="F202" i="11"/>
  <c r="F196" i="11"/>
  <c r="F204" i="11"/>
  <c r="F208" i="11"/>
  <c r="F203" i="11"/>
  <c r="F207" i="11"/>
  <c r="F232" i="11"/>
  <c r="F236" i="11"/>
  <c r="F197" i="11"/>
  <c r="F276" i="11"/>
  <c r="F190" i="11"/>
  <c r="F191" i="11"/>
  <c r="F231" i="11"/>
  <c r="F235" i="11"/>
  <c r="F205" i="11"/>
  <c r="H728" i="6"/>
  <c r="H730" i="6"/>
  <c r="H731" i="6"/>
  <c r="N351" i="11"/>
  <c r="N353" i="11"/>
  <c r="N443" i="11"/>
  <c r="G363" i="11"/>
  <c r="G362" i="11"/>
  <c r="G364" i="11"/>
  <c r="G357" i="11"/>
  <c r="G359" i="11"/>
  <c r="G360" i="11"/>
  <c r="G366" i="11"/>
  <c r="G367" i="11"/>
  <c r="G371" i="11"/>
  <c r="G358" i="11"/>
  <c r="G365" i="11"/>
  <c r="G368" i="11"/>
  <c r="G372" i="11"/>
  <c r="G355" i="11"/>
  <c r="G396" i="11"/>
  <c r="G400" i="11"/>
  <c r="G395" i="11"/>
  <c r="G399" i="11"/>
  <c r="G361" i="11"/>
  <c r="G440" i="11"/>
  <c r="G394" i="11"/>
  <c r="G369" i="11"/>
  <c r="G354" i="11"/>
  <c r="L148" i="6"/>
  <c r="L189" i="11"/>
  <c r="L279" i="11"/>
  <c r="L187" i="11"/>
  <c r="G410" i="11"/>
  <c r="G425" i="11"/>
  <c r="P160" i="6"/>
  <c r="E728" i="6"/>
  <c r="E730" i="6"/>
  <c r="E731" i="6"/>
  <c r="O189" i="11"/>
  <c r="O279" i="11"/>
  <c r="O187" i="11"/>
  <c r="N23" i="11"/>
  <c r="N115" i="11"/>
  <c r="M233" i="11"/>
  <c r="F246" i="11"/>
  <c r="F271" i="11"/>
  <c r="O115" i="11"/>
  <c r="O23" i="11"/>
  <c r="O20" i="13"/>
  <c r="E362" i="11"/>
  <c r="E364" i="11"/>
  <c r="E363" i="11"/>
  <c r="E357" i="11"/>
  <c r="E360" i="11"/>
  <c r="E366" i="11"/>
  <c r="E359" i="11"/>
  <c r="E368" i="11"/>
  <c r="E372" i="11"/>
  <c r="E365" i="11"/>
  <c r="E367" i="11"/>
  <c r="E371" i="11"/>
  <c r="E358" i="11"/>
  <c r="E395" i="11"/>
  <c r="E399" i="11"/>
  <c r="E355" i="11"/>
  <c r="E396" i="11"/>
  <c r="E400" i="11"/>
  <c r="E369" i="11"/>
  <c r="E394" i="11"/>
  <c r="E354" i="11"/>
  <c r="E361" i="11"/>
  <c r="E440" i="11"/>
  <c r="F233" i="11"/>
  <c r="G189" i="11"/>
  <c r="G279" i="11"/>
  <c r="G187" i="11"/>
  <c r="G21" i="13"/>
  <c r="G142" i="6"/>
  <c r="N161" i="6"/>
  <c r="E142" i="6"/>
  <c r="E187" i="11"/>
  <c r="E279" i="11"/>
  <c r="O147" i="6"/>
  <c r="L23" i="11"/>
  <c r="L115" i="11"/>
  <c r="N243" i="11"/>
  <c r="N200" i="11"/>
  <c r="N199" i="11"/>
  <c r="N198" i="11"/>
  <c r="N202" i="11"/>
  <c r="N204" i="11"/>
  <c r="N208" i="11"/>
  <c r="N201" i="11"/>
  <c r="N193" i="11"/>
  <c r="N230" i="11"/>
  <c r="N203" i="11"/>
  <c r="N207" i="11"/>
  <c r="N191" i="11"/>
  <c r="N232" i="11"/>
  <c r="N236" i="11"/>
  <c r="N190" i="11"/>
  <c r="N205" i="11"/>
  <c r="N231" i="11"/>
  <c r="N235" i="11"/>
  <c r="N276" i="11"/>
  <c r="E25" i="11"/>
  <c r="E115" i="11"/>
  <c r="E23" i="11"/>
  <c r="L137" i="6"/>
  <c r="L23" i="13"/>
  <c r="O161" i="6"/>
  <c r="M79" i="11"/>
  <c r="M35" i="11"/>
  <c r="M34" i="11"/>
  <c r="M29" i="11"/>
  <c r="M32" i="11"/>
  <c r="M31" i="11"/>
  <c r="M38" i="11"/>
  <c r="M30" i="11"/>
  <c r="M36" i="11"/>
  <c r="M39" i="11"/>
  <c r="M43" i="11"/>
  <c r="M26" i="11"/>
  <c r="M37" i="11"/>
  <c r="M40" i="11"/>
  <c r="M44" i="11"/>
  <c r="M27" i="11"/>
  <c r="M67" i="11"/>
  <c r="M71" i="11"/>
  <c r="M66" i="11"/>
  <c r="M33" i="11"/>
  <c r="M112" i="11"/>
  <c r="O364" i="11"/>
  <c r="O363" i="11"/>
  <c r="O362" i="11"/>
  <c r="O358" i="11"/>
  <c r="O366" i="11"/>
  <c r="O368" i="11"/>
  <c r="O372" i="11"/>
  <c r="O360" i="11"/>
  <c r="O367" i="11"/>
  <c r="O371" i="11"/>
  <c r="O365" i="11"/>
  <c r="O359" i="11"/>
  <c r="O357" i="11"/>
  <c r="O396" i="11"/>
  <c r="O400" i="11"/>
  <c r="O361" i="11"/>
  <c r="O440" i="11"/>
  <c r="O369" i="11"/>
  <c r="O394" i="11"/>
  <c r="O395" i="11"/>
  <c r="O399" i="11"/>
  <c r="O355" i="11"/>
  <c r="O354" i="11"/>
  <c r="F69" i="11"/>
  <c r="H356" i="11"/>
  <c r="H79" i="11"/>
  <c r="H36" i="11"/>
  <c r="H35" i="11"/>
  <c r="H34" i="11"/>
  <c r="H29" i="11"/>
  <c r="H39" i="11"/>
  <c r="H43" i="11"/>
  <c r="H40" i="11"/>
  <c r="H44" i="11"/>
  <c r="H32" i="11"/>
  <c r="H31" i="11"/>
  <c r="H66" i="11"/>
  <c r="H37" i="11"/>
  <c r="H38" i="11"/>
  <c r="H30" i="11"/>
  <c r="H68" i="11"/>
  <c r="H72" i="11"/>
  <c r="H67" i="11"/>
  <c r="H71" i="11"/>
  <c r="H27" i="11"/>
  <c r="H26" i="11"/>
  <c r="H33" i="11"/>
  <c r="H112" i="11"/>
  <c r="F192" i="11"/>
  <c r="F82" i="11"/>
  <c r="F107" i="11"/>
  <c r="I259" i="11"/>
  <c r="I243" i="11"/>
  <c r="I198" i="11"/>
  <c r="I199" i="11"/>
  <c r="I200" i="11"/>
  <c r="I203" i="11"/>
  <c r="I207" i="11"/>
  <c r="I201" i="11"/>
  <c r="I194" i="11"/>
  <c r="I193" i="11"/>
  <c r="I196" i="11"/>
  <c r="I202" i="11"/>
  <c r="I195" i="11"/>
  <c r="I204" i="11"/>
  <c r="I208" i="11"/>
  <c r="I232" i="11"/>
  <c r="I236" i="11"/>
  <c r="I205" i="11"/>
  <c r="I190" i="11"/>
  <c r="I231" i="11"/>
  <c r="I235" i="11"/>
  <c r="I197" i="11"/>
  <c r="I276" i="11"/>
  <c r="I230" i="11"/>
  <c r="I191" i="11"/>
  <c r="L127" i="6"/>
  <c r="I188" i="11"/>
  <c r="L142" i="6"/>
  <c r="M243" i="11"/>
  <c r="M199" i="11"/>
  <c r="M198" i="11"/>
  <c r="M200" i="11"/>
  <c r="M201" i="11"/>
  <c r="M202" i="11"/>
  <c r="M231" i="11"/>
  <c r="M235" i="11"/>
  <c r="M204" i="11"/>
  <c r="M208" i="11"/>
  <c r="M203" i="11"/>
  <c r="M207" i="11"/>
  <c r="M193" i="11"/>
  <c r="M190" i="11"/>
  <c r="M232" i="11"/>
  <c r="M236" i="11"/>
  <c r="M191" i="11"/>
  <c r="M205" i="11"/>
  <c r="M276" i="11"/>
  <c r="M188" i="11"/>
  <c r="M230" i="11"/>
  <c r="G115" i="11"/>
  <c r="G23" i="11"/>
  <c r="G20" i="13"/>
  <c r="M364" i="11"/>
  <c r="M363" i="11"/>
  <c r="M362" i="11"/>
  <c r="M368" i="11"/>
  <c r="M372" i="11"/>
  <c r="M366" i="11"/>
  <c r="M365" i="11"/>
  <c r="M358" i="11"/>
  <c r="M359" i="11"/>
  <c r="M357" i="11"/>
  <c r="M367" i="11"/>
  <c r="M371" i="11"/>
  <c r="M360" i="11"/>
  <c r="M355" i="11"/>
  <c r="M394" i="11"/>
  <c r="M395" i="11"/>
  <c r="M399" i="11"/>
  <c r="M354" i="11"/>
  <c r="M396" i="11"/>
  <c r="M400" i="11"/>
  <c r="M361" i="11"/>
  <c r="M440" i="11"/>
  <c r="M369" i="11"/>
  <c r="K20" i="13"/>
  <c r="K23" i="11"/>
  <c r="K115" i="11"/>
  <c r="K141" i="6"/>
  <c r="H28" i="11"/>
  <c r="J363" i="11"/>
  <c r="J362" i="11"/>
  <c r="J364" i="11"/>
  <c r="J357" i="11"/>
  <c r="J360" i="11"/>
  <c r="J358" i="11"/>
  <c r="J359" i="11"/>
  <c r="J366" i="11"/>
  <c r="J365" i="11"/>
  <c r="J367" i="11"/>
  <c r="J371" i="11"/>
  <c r="J368" i="11"/>
  <c r="J372" i="11"/>
  <c r="J355" i="11"/>
  <c r="J394" i="11"/>
  <c r="J354" i="11"/>
  <c r="J396" i="11"/>
  <c r="J400" i="11"/>
  <c r="J361" i="11"/>
  <c r="J440" i="11"/>
  <c r="J395" i="11"/>
  <c r="J399" i="11"/>
  <c r="J369" i="11"/>
  <c r="K363" i="11"/>
  <c r="K362" i="11"/>
  <c r="K357" i="11"/>
  <c r="K366" i="11"/>
  <c r="K364" i="11"/>
  <c r="K367" i="11"/>
  <c r="K371" i="11"/>
  <c r="K358" i="11"/>
  <c r="K359" i="11"/>
  <c r="K368" i="11"/>
  <c r="K372" i="11"/>
  <c r="K354" i="11"/>
  <c r="K360" i="11"/>
  <c r="K365" i="11"/>
  <c r="K394" i="11"/>
  <c r="K355" i="11"/>
  <c r="K369" i="11"/>
  <c r="K395" i="11"/>
  <c r="K399" i="11"/>
  <c r="G148" i="6"/>
  <c r="I362" i="11"/>
  <c r="I364" i="11"/>
  <c r="I363" i="11"/>
  <c r="I367" i="11"/>
  <c r="I371" i="11"/>
  <c r="I365" i="11"/>
  <c r="I358" i="11"/>
  <c r="I357" i="11"/>
  <c r="I368" i="11"/>
  <c r="I372" i="11"/>
  <c r="I359" i="11"/>
  <c r="I366" i="11"/>
  <c r="I360" i="11"/>
  <c r="I396" i="11"/>
  <c r="I400" i="11"/>
  <c r="I361" i="11"/>
  <c r="I440" i="11"/>
  <c r="I355" i="11"/>
  <c r="I395" i="11"/>
  <c r="I399" i="11"/>
  <c r="I369" i="11"/>
  <c r="I394" i="11"/>
  <c r="I354" i="11"/>
  <c r="F79" i="11"/>
  <c r="F34" i="11"/>
  <c r="F36" i="11"/>
  <c r="F35" i="11"/>
  <c r="F40" i="11"/>
  <c r="F44" i="11"/>
  <c r="F31" i="11"/>
  <c r="F32" i="11"/>
  <c r="F29" i="11"/>
  <c r="F37" i="11"/>
  <c r="F30" i="11"/>
  <c r="F39" i="11"/>
  <c r="F43" i="11"/>
  <c r="F38" i="11"/>
  <c r="F66" i="11"/>
  <c r="F41" i="11"/>
  <c r="F26" i="11"/>
  <c r="F68" i="11"/>
  <c r="F72" i="11"/>
  <c r="F33" i="11"/>
  <c r="F112" i="11"/>
  <c r="F27" i="11"/>
  <c r="F67" i="11"/>
  <c r="F71" i="11"/>
  <c r="F24" i="11"/>
  <c r="H189" i="11"/>
  <c r="H279" i="11"/>
  <c r="H187" i="11"/>
  <c r="H142" i="6"/>
  <c r="H21" i="13"/>
  <c r="F363" i="11"/>
  <c r="F362" i="11"/>
  <c r="F364" i="11"/>
  <c r="F366" i="11"/>
  <c r="F358" i="11"/>
  <c r="F357" i="11"/>
  <c r="F367" i="11"/>
  <c r="F371" i="11"/>
  <c r="F360" i="11"/>
  <c r="F359" i="11"/>
  <c r="F365" i="11"/>
  <c r="F368" i="11"/>
  <c r="F372" i="11"/>
  <c r="F396" i="11"/>
  <c r="F400" i="11"/>
  <c r="F395" i="11"/>
  <c r="F399" i="11"/>
  <c r="F394" i="11"/>
  <c r="F369" i="11"/>
  <c r="F355" i="11"/>
  <c r="F354" i="11"/>
  <c r="F361" i="11"/>
  <c r="F440" i="11"/>
  <c r="L728" i="6"/>
  <c r="L730" i="6"/>
  <c r="L731" i="6"/>
  <c r="N149" i="6"/>
  <c r="N22" i="13"/>
  <c r="P22" i="13"/>
  <c r="H137" i="6"/>
  <c r="H127" i="6"/>
  <c r="G137" i="6"/>
  <c r="G790" i="6"/>
  <c r="K187" i="11"/>
  <c r="K189" i="11"/>
  <c r="K279" i="11"/>
  <c r="I724" i="6"/>
  <c r="I726" i="6"/>
  <c r="I727" i="6"/>
  <c r="J243" i="11"/>
  <c r="J259" i="11"/>
  <c r="J199" i="11"/>
  <c r="J198" i="11"/>
  <c r="J200" i="11"/>
  <c r="J193" i="11"/>
  <c r="J201" i="11"/>
  <c r="J204" i="11"/>
  <c r="J208" i="11"/>
  <c r="J230" i="11"/>
  <c r="J203" i="11"/>
  <c r="J207" i="11"/>
  <c r="J196" i="11"/>
  <c r="J194" i="11"/>
  <c r="J231" i="11"/>
  <c r="J235" i="11"/>
  <c r="J195" i="11"/>
  <c r="J202" i="11"/>
  <c r="J188" i="11"/>
  <c r="J197" i="11"/>
  <c r="J276" i="11"/>
  <c r="J233" i="11"/>
  <c r="J190" i="11"/>
  <c r="J232" i="11"/>
  <c r="J236" i="11"/>
  <c r="J205" i="11"/>
  <c r="J191" i="11"/>
  <c r="K410" i="11"/>
  <c r="K425" i="11"/>
  <c r="K356" i="11"/>
  <c r="M69" i="11"/>
  <c r="G147" i="6"/>
  <c r="L363" i="11"/>
  <c r="L362" i="11"/>
  <c r="L364" i="11"/>
  <c r="L358" i="11"/>
  <c r="L357" i="11"/>
  <c r="L368" i="11"/>
  <c r="L372" i="11"/>
  <c r="L365" i="11"/>
  <c r="L360" i="11"/>
  <c r="L359" i="11"/>
  <c r="L366" i="11"/>
  <c r="L367" i="11"/>
  <c r="L371" i="11"/>
  <c r="L369" i="11"/>
  <c r="L354" i="11"/>
  <c r="L355" i="11"/>
  <c r="L361" i="11"/>
  <c r="L440" i="11"/>
  <c r="L395" i="11"/>
  <c r="L399" i="11"/>
  <c r="L396" i="11"/>
  <c r="L400" i="11"/>
  <c r="L394" i="11"/>
  <c r="N192" i="11"/>
  <c r="O728" i="6"/>
  <c r="O730" i="6"/>
  <c r="O731" i="6"/>
  <c r="P318" i="6"/>
  <c r="N390" i="6"/>
  <c r="N320" i="6"/>
  <c r="N319" i="6"/>
  <c r="N339" i="6"/>
  <c r="N370" i="6"/>
  <c r="N387" i="6"/>
  <c r="N386" i="6"/>
  <c r="N323" i="6"/>
  <c r="N374" i="6"/>
  <c r="N354" i="6"/>
  <c r="N371" i="6"/>
  <c r="N355" i="6"/>
  <c r="N338" i="6"/>
  <c r="N527" i="6"/>
  <c r="N531" i="6"/>
  <c r="N528" i="6"/>
  <c r="N512" i="6"/>
  <c r="N493" i="6"/>
  <c r="N530" i="6"/>
  <c r="N511" i="6"/>
  <c r="N496" i="6"/>
  <c r="O516" i="6"/>
  <c r="P491" i="6"/>
  <c r="M24" i="11"/>
  <c r="M240" i="6"/>
  <c r="O399" i="6"/>
  <c r="O401" i="6"/>
  <c r="N399" i="6"/>
  <c r="N436" i="6"/>
  <c r="N437" i="6"/>
  <c r="I634" i="6"/>
  <c r="I671" i="6"/>
  <c r="N398" i="6"/>
  <c r="P134" i="6"/>
  <c r="P397" i="6"/>
  <c r="O398" i="6"/>
  <c r="M399" i="6"/>
  <c r="M436" i="6"/>
  <c r="M437" i="6"/>
  <c r="N147" i="6"/>
  <c r="K634" i="6"/>
  <c r="K671" i="6"/>
  <c r="F398" i="6"/>
  <c r="M634" i="6"/>
  <c r="M671" i="6"/>
  <c r="N20" i="13"/>
  <c r="K398" i="6"/>
  <c r="N141" i="6"/>
  <c r="K483" i="6"/>
  <c r="K484" i="6"/>
  <c r="F161" i="6"/>
  <c r="F162" i="6"/>
  <c r="N137" i="6"/>
  <c r="N23" i="13"/>
  <c r="P45" i="6"/>
  <c r="P47" i="6"/>
  <c r="M633" i="6"/>
  <c r="I633" i="6"/>
  <c r="F399" i="6"/>
  <c r="F400" i="6"/>
  <c r="M398" i="6"/>
  <c r="P89" i="6"/>
  <c r="P452" i="5"/>
  <c r="K633" i="6"/>
  <c r="H633" i="6"/>
  <c r="K240" i="6"/>
  <c r="K399" i="6"/>
  <c r="K436" i="6"/>
  <c r="K437" i="6"/>
  <c r="K161" i="6"/>
  <c r="H445" i="6"/>
  <c r="L445" i="6"/>
  <c r="L483" i="6"/>
  <c r="M161" i="6"/>
  <c r="E127" i="6"/>
  <c r="H634" i="6"/>
  <c r="H671" i="6"/>
  <c r="P108" i="6"/>
  <c r="F633" i="6"/>
  <c r="N693" i="6"/>
  <c r="M116" i="5"/>
  <c r="M126" i="5"/>
  <c r="P135" i="6"/>
  <c r="O21" i="13"/>
  <c r="O137" i="6"/>
  <c r="O23" i="13"/>
  <c r="O148" i="6"/>
  <c r="O142" i="6"/>
  <c r="M445" i="6"/>
  <c r="L240" i="6"/>
  <c r="K21" i="13"/>
  <c r="K137" i="6"/>
  <c r="K23" i="13"/>
  <c r="K142" i="6"/>
  <c r="K148" i="6"/>
  <c r="J483" i="6"/>
  <c r="K147" i="6"/>
  <c r="K127" i="6"/>
  <c r="K724" i="6"/>
  <c r="K726" i="6"/>
  <c r="K727" i="6"/>
  <c r="M352" i="11"/>
  <c r="F155" i="6"/>
  <c r="F156" i="6"/>
  <c r="F116" i="5"/>
  <c r="F126" i="5"/>
  <c r="E20" i="13"/>
  <c r="F787" i="6"/>
  <c r="E113" i="5"/>
  <c r="E137" i="6"/>
  <c r="E147" i="6"/>
  <c r="E141" i="6"/>
  <c r="E193" i="5"/>
  <c r="E195" i="5"/>
  <c r="F540" i="6"/>
  <c r="F541" i="6"/>
  <c r="F539" i="6"/>
  <c r="L539" i="6"/>
  <c r="J540" i="6"/>
  <c r="J539" i="6"/>
  <c r="H540" i="6"/>
  <c r="L540" i="6"/>
  <c r="H539" i="6"/>
  <c r="L634" i="6"/>
  <c r="L671" i="6"/>
  <c r="L633" i="6"/>
  <c r="H352" i="11"/>
  <c r="F636" i="6"/>
  <c r="O474" i="11"/>
  <c r="O473" i="11"/>
  <c r="O472" i="11"/>
  <c r="O352" i="11"/>
  <c r="E483" i="6"/>
  <c r="E484" i="6"/>
  <c r="E445" i="6"/>
  <c r="O656" i="6"/>
  <c r="E399" i="6"/>
  <c r="E436" i="6"/>
  <c r="E437" i="6"/>
  <c r="E398" i="6"/>
  <c r="N313" i="6"/>
  <c r="G634" i="6"/>
  <c r="G671" i="6"/>
  <c r="G633" i="6"/>
  <c r="E740" i="6"/>
  <c r="E741" i="6"/>
  <c r="E352" i="11"/>
  <c r="F445" i="6"/>
  <c r="F141" i="5"/>
  <c r="F172" i="5"/>
  <c r="F240" i="6"/>
  <c r="F170" i="5"/>
  <c r="I445" i="6"/>
  <c r="I240" i="6"/>
  <c r="O674" i="6"/>
  <c r="I352" i="11"/>
  <c r="J445" i="6"/>
  <c r="J240" i="6"/>
  <c r="M23" i="13"/>
  <c r="J352" i="11"/>
  <c r="G352" i="11"/>
  <c r="G240" i="6"/>
  <c r="G445" i="6"/>
  <c r="K445" i="6"/>
  <c r="G195" i="5"/>
  <c r="G193" i="5"/>
  <c r="H240" i="6"/>
  <c r="K352" i="11"/>
  <c r="E162" i="6"/>
  <c r="E161" i="6"/>
  <c r="F352" i="11"/>
  <c r="O486" i="6"/>
  <c r="O735" i="6"/>
  <c r="F593" i="6"/>
  <c r="G604" i="6"/>
  <c r="H604" i="6"/>
  <c r="I604" i="6"/>
  <c r="J604" i="6"/>
  <c r="K604" i="6"/>
  <c r="L604" i="6"/>
  <c r="M604" i="6"/>
  <c r="N604" i="6"/>
  <c r="O604" i="6"/>
  <c r="P604" i="6"/>
  <c r="F605" i="6"/>
  <c r="G605" i="6"/>
  <c r="H605" i="6"/>
  <c r="I605" i="6"/>
  <c r="J605" i="6"/>
  <c r="K605" i="6"/>
  <c r="L605" i="6"/>
  <c r="M605" i="6"/>
  <c r="N605" i="6"/>
  <c r="N606" i="6"/>
  <c r="G620" i="6"/>
  <c r="H620" i="6"/>
  <c r="I620" i="6"/>
  <c r="J620" i="6"/>
  <c r="K620" i="6"/>
  <c r="L620" i="6"/>
  <c r="M620" i="6"/>
  <c r="N620" i="6"/>
  <c r="O620" i="6"/>
  <c r="P620" i="6"/>
  <c r="F621" i="6"/>
  <c r="G621" i="6"/>
  <c r="H621" i="6"/>
  <c r="I621" i="6"/>
  <c r="J621" i="6"/>
  <c r="K621" i="6"/>
  <c r="L621" i="6"/>
  <c r="M621" i="6"/>
  <c r="N621" i="6"/>
  <c r="N622" i="6"/>
  <c r="N624" i="6"/>
  <c r="N586" i="6"/>
  <c r="N625" i="6"/>
  <c r="E148" i="6"/>
  <c r="M484" i="6"/>
  <c r="E540" i="6"/>
  <c r="E577" i="6"/>
  <c r="E578" i="6"/>
  <c r="E539" i="6"/>
  <c r="E634" i="6"/>
  <c r="E671" i="6"/>
  <c r="E633" i="6"/>
  <c r="E21" i="13"/>
  <c r="E114" i="5"/>
  <c r="F788" i="6"/>
  <c r="E240" i="6"/>
  <c r="L352" i="11"/>
  <c r="G161" i="6"/>
  <c r="P133" i="5"/>
  <c r="E141" i="5"/>
  <c r="E170" i="5"/>
  <c r="E172" i="5"/>
  <c r="G398" i="6"/>
  <c r="G399" i="6"/>
  <c r="G400" i="6"/>
  <c r="I399" i="6"/>
  <c r="I398" i="6"/>
  <c r="I161" i="6"/>
  <c r="H399" i="6"/>
  <c r="H398" i="6"/>
  <c r="J399" i="6"/>
  <c r="J398" i="6"/>
  <c r="L399" i="6"/>
  <c r="L398" i="6"/>
  <c r="H161" i="6"/>
  <c r="L161" i="6"/>
  <c r="J161" i="6"/>
  <c r="G316" i="5"/>
  <c r="N335" i="11"/>
  <c r="M144" i="11"/>
  <c r="I79" i="11"/>
  <c r="M146" i="11"/>
  <c r="M145" i="11"/>
  <c r="N424" i="11"/>
  <c r="P424" i="11"/>
  <c r="L246" i="11"/>
  <c r="L261" i="11"/>
  <c r="O246" i="11"/>
  <c r="O261" i="11"/>
  <c r="P136" i="5"/>
  <c r="P169" i="5"/>
  <c r="P134" i="5"/>
  <c r="P135" i="5"/>
  <c r="F32" i="10"/>
  <c r="F755" i="6"/>
  <c r="E775" i="6"/>
  <c r="F768" i="6"/>
  <c r="F769" i="6"/>
  <c r="E754" i="6"/>
  <c r="F761" i="6"/>
  <c r="F762" i="6"/>
  <c r="E768" i="6"/>
  <c r="F775" i="6"/>
  <c r="F776" i="6"/>
  <c r="E761" i="6"/>
  <c r="E765" i="6"/>
  <c r="F163" i="6"/>
  <c r="I171" i="6"/>
  <c r="P171" i="6"/>
  <c r="F321" i="6"/>
  <c r="I329" i="6"/>
  <c r="P329" i="6"/>
  <c r="M672" i="6"/>
  <c r="K636" i="6"/>
  <c r="G635" i="6"/>
  <c r="L672" i="6"/>
  <c r="J634" i="6"/>
  <c r="J671" i="6"/>
  <c r="K539" i="6"/>
  <c r="I540" i="6"/>
  <c r="I577" i="6"/>
  <c r="G539" i="6"/>
  <c r="I30" i="11"/>
  <c r="P789" i="6"/>
  <c r="I32" i="11"/>
  <c r="I29" i="11"/>
  <c r="I109" i="11"/>
  <c r="I28" i="11"/>
  <c r="I24" i="11"/>
  <c r="I66" i="11"/>
  <c r="I70" i="11"/>
  <c r="I37" i="11"/>
  <c r="I95" i="11"/>
  <c r="I38" i="11"/>
  <c r="I42" i="11"/>
  <c r="I40" i="11"/>
  <c r="I44" i="11"/>
  <c r="I26" i="11"/>
  <c r="I39" i="11"/>
  <c r="I43" i="11"/>
  <c r="I80" i="11"/>
  <c r="I68" i="11"/>
  <c r="I72" i="11"/>
  <c r="I36" i="11"/>
  <c r="P103" i="5"/>
  <c r="O104" i="5"/>
  <c r="I67" i="11"/>
  <c r="I71" i="11"/>
  <c r="I34" i="11"/>
  <c r="I33" i="11"/>
  <c r="I112" i="11"/>
  <c r="I96" i="11"/>
  <c r="L104" i="5"/>
  <c r="E104" i="5"/>
  <c r="J317" i="5"/>
  <c r="K104" i="5"/>
  <c r="H104" i="5"/>
  <c r="I27" i="11"/>
  <c r="I35" i="11"/>
  <c r="I104" i="5"/>
  <c r="F220" i="5"/>
  <c r="M104" i="5"/>
  <c r="I69" i="11"/>
  <c r="I31" i="11"/>
  <c r="N104" i="5"/>
  <c r="J104" i="5"/>
  <c r="E743" i="6"/>
  <c r="E746" i="6"/>
  <c r="E742" i="6"/>
  <c r="E745" i="6"/>
  <c r="D275" i="5"/>
  <c r="P275" i="5"/>
  <c r="J308" i="11"/>
  <c r="J310" i="11"/>
  <c r="J309" i="11"/>
  <c r="J261" i="11"/>
  <c r="D125" i="5"/>
  <c r="E154" i="6"/>
  <c r="D124" i="5"/>
  <c r="D123" i="5"/>
  <c r="G321" i="6"/>
  <c r="H321" i="6"/>
  <c r="I321" i="6"/>
  <c r="H635" i="6"/>
  <c r="I635" i="6"/>
  <c r="G636" i="6"/>
  <c r="G637" i="6"/>
  <c r="I636" i="6"/>
  <c r="H636" i="6"/>
  <c r="G447" i="6"/>
  <c r="H447" i="6"/>
  <c r="I447" i="6"/>
  <c r="G494" i="6"/>
  <c r="H494" i="6"/>
  <c r="I494" i="6"/>
  <c r="I530" i="6"/>
  <c r="I531" i="6"/>
  <c r="H495" i="6"/>
  <c r="G495" i="6"/>
  <c r="F495" i="6"/>
  <c r="H400" i="6"/>
  <c r="I400" i="6"/>
  <c r="F436" i="6"/>
  <c r="F437" i="6"/>
  <c r="G163" i="6"/>
  <c r="H163" i="6"/>
  <c r="I163" i="6"/>
  <c r="N215" i="11"/>
  <c r="N218" i="11"/>
  <c r="N295" i="11"/>
  <c r="G139" i="5"/>
  <c r="E139" i="5"/>
  <c r="F139" i="5"/>
  <c r="P138" i="5"/>
  <c r="J389" i="6"/>
  <c r="I322" i="6"/>
  <c r="M389" i="6"/>
  <c r="L389" i="6"/>
  <c r="O322" i="6"/>
  <c r="H322" i="6"/>
  <c r="K322" i="6"/>
  <c r="F322" i="6"/>
  <c r="G322" i="6"/>
  <c r="E389" i="6"/>
  <c r="E390" i="6"/>
  <c r="N692" i="6"/>
  <c r="N694" i="6"/>
  <c r="N695" i="6"/>
  <c r="K310" i="6"/>
  <c r="K311" i="6"/>
  <c r="O693" i="6"/>
  <c r="J310" i="6"/>
  <c r="J311" i="6"/>
  <c r="E311" i="6"/>
  <c r="M232" i="6"/>
  <c r="F164" i="6"/>
  <c r="O164" i="6"/>
  <c r="K232" i="6"/>
  <c r="N232" i="6"/>
  <c r="E231" i="6"/>
  <c r="E688" i="6"/>
  <c r="P143" i="6"/>
  <c r="P114" i="5"/>
  <c r="P113" i="5"/>
  <c r="P115" i="5"/>
  <c r="P21" i="13"/>
  <c r="P20" i="13"/>
  <c r="H435" i="11"/>
  <c r="I435" i="11"/>
  <c r="J435" i="11"/>
  <c r="G435" i="11"/>
  <c r="L435" i="11"/>
  <c r="F435" i="11"/>
  <c r="K435" i="11"/>
  <c r="E435" i="11"/>
  <c r="N408" i="11"/>
  <c r="P408" i="11"/>
  <c r="F261" i="11"/>
  <c r="I261" i="11"/>
  <c r="G244" i="11"/>
  <c r="O244" i="11"/>
  <c r="L244" i="11"/>
  <c r="H244" i="11"/>
  <c r="K244" i="11"/>
  <c r="E244" i="11"/>
  <c r="F97" i="11"/>
  <c r="H97" i="11"/>
  <c r="J80" i="11"/>
  <c r="G80" i="11"/>
  <c r="N80" i="11"/>
  <c r="L80" i="11"/>
  <c r="K80" i="11"/>
  <c r="O80" i="11"/>
  <c r="E80" i="11"/>
  <c r="F308" i="11"/>
  <c r="I308" i="11"/>
  <c r="F309" i="11"/>
  <c r="F310" i="11"/>
  <c r="O259" i="11"/>
  <c r="O260" i="11"/>
  <c r="O195" i="11"/>
  <c r="O197" i="11"/>
  <c r="O309" i="11"/>
  <c r="O194" i="11"/>
  <c r="O308" i="11"/>
  <c r="O196" i="11"/>
  <c r="O310" i="11"/>
  <c r="L259" i="11"/>
  <c r="L260" i="11"/>
  <c r="L196" i="11"/>
  <c r="L197" i="11"/>
  <c r="L310" i="11"/>
  <c r="L195" i="11"/>
  <c r="L309" i="11"/>
  <c r="L194" i="11"/>
  <c r="L308" i="11"/>
  <c r="I309" i="11"/>
  <c r="I310" i="11"/>
  <c r="F144" i="11"/>
  <c r="H260" i="11"/>
  <c r="G260" i="11"/>
  <c r="E260" i="11"/>
  <c r="F145" i="11"/>
  <c r="K260" i="11"/>
  <c r="H145" i="11"/>
  <c r="F146" i="11"/>
  <c r="H144" i="11"/>
  <c r="H146" i="11"/>
  <c r="M410" i="11"/>
  <c r="M425" i="11"/>
  <c r="E736" i="6"/>
  <c r="G736" i="6"/>
  <c r="O410" i="11"/>
  <c r="O425" i="11"/>
  <c r="M82" i="11"/>
  <c r="I82" i="11"/>
  <c r="I97" i="11"/>
  <c r="M271" i="11"/>
  <c r="J736" i="6"/>
  <c r="J95" i="11"/>
  <c r="G95" i="11"/>
  <c r="E95" i="11"/>
  <c r="N95" i="11"/>
  <c r="K95" i="11"/>
  <c r="O95" i="11"/>
  <c r="L95" i="11"/>
  <c r="L96" i="11"/>
  <c r="J96" i="11"/>
  <c r="K96" i="11"/>
  <c r="N96" i="11"/>
  <c r="G96" i="11"/>
  <c r="O96" i="11"/>
  <c r="E96" i="11"/>
  <c r="F331" i="11"/>
  <c r="M494" i="11"/>
  <c r="M329" i="11"/>
  <c r="I330" i="11"/>
  <c r="L493" i="11"/>
  <c r="J329" i="11"/>
  <c r="F329" i="11"/>
  <c r="O493" i="11"/>
  <c r="L494" i="11"/>
  <c r="J330" i="11"/>
  <c r="F495" i="11"/>
  <c r="M330" i="11"/>
  <c r="I329" i="11"/>
  <c r="J495" i="11"/>
  <c r="K494" i="11"/>
  <c r="K493" i="11"/>
  <c r="J493" i="11"/>
  <c r="F493" i="11"/>
  <c r="J494" i="11"/>
  <c r="E493" i="11"/>
  <c r="O494" i="11"/>
  <c r="G493" i="11"/>
  <c r="F494" i="11"/>
  <c r="O495" i="11"/>
  <c r="G494" i="11"/>
  <c r="M495" i="11"/>
  <c r="G495" i="11"/>
  <c r="I494" i="11"/>
  <c r="K495" i="11"/>
  <c r="H493" i="11"/>
  <c r="I495" i="11"/>
  <c r="E494" i="11"/>
  <c r="H495" i="11"/>
  <c r="L495" i="11"/>
  <c r="I493" i="11"/>
  <c r="M493" i="11"/>
  <c r="I331" i="11"/>
  <c r="E495" i="11"/>
  <c r="H494" i="11"/>
  <c r="N329" i="11"/>
  <c r="N330" i="11"/>
  <c r="N331" i="11"/>
  <c r="J331" i="11"/>
  <c r="M331" i="11"/>
  <c r="F330" i="11"/>
  <c r="F165" i="11"/>
  <c r="F167" i="11"/>
  <c r="H165" i="11"/>
  <c r="M165" i="11"/>
  <c r="F166" i="11"/>
  <c r="M166" i="11"/>
  <c r="H166" i="11"/>
  <c r="M167" i="11"/>
  <c r="H167" i="11"/>
  <c r="N397" i="11"/>
  <c r="P397" i="11"/>
  <c r="O233" i="11"/>
  <c r="H233" i="11"/>
  <c r="K246" i="11"/>
  <c r="K271" i="11"/>
  <c r="E233" i="11"/>
  <c r="O69" i="11"/>
  <c r="N69" i="11"/>
  <c r="K69" i="11"/>
  <c r="E82" i="11"/>
  <c r="E107" i="11"/>
  <c r="N486" i="6"/>
  <c r="N487" i="6"/>
  <c r="O389" i="6"/>
  <c r="O530" i="6"/>
  <c r="J40" i="11"/>
  <c r="J44" i="11"/>
  <c r="J68" i="11"/>
  <c r="J72" i="11"/>
  <c r="J32" i="11"/>
  <c r="J38" i="11"/>
  <c r="J42" i="11"/>
  <c r="J30" i="11"/>
  <c r="J69" i="11"/>
  <c r="J27" i="11"/>
  <c r="J35" i="11"/>
  <c r="J67" i="11"/>
  <c r="J71" i="11"/>
  <c r="K495" i="6"/>
  <c r="J66" i="11"/>
  <c r="J70" i="11"/>
  <c r="O533" i="6"/>
  <c r="J24" i="11"/>
  <c r="J33" i="11"/>
  <c r="J112" i="11"/>
  <c r="J31" i="11"/>
  <c r="J28" i="11"/>
  <c r="J26" i="11"/>
  <c r="J37" i="11"/>
  <c r="J79" i="11"/>
  <c r="J39" i="11"/>
  <c r="J43" i="11"/>
  <c r="J34" i="11"/>
  <c r="J29" i="11"/>
  <c r="J109" i="11"/>
  <c r="J36" i="11"/>
  <c r="O374" i="6"/>
  <c r="J116" i="5"/>
  <c r="O392" i="6"/>
  <c r="F530" i="6"/>
  <c r="F531" i="6"/>
  <c r="F499" i="6"/>
  <c r="G145" i="5"/>
  <c r="I389" i="6"/>
  <c r="P632" i="6"/>
  <c r="P141" i="6"/>
  <c r="P187" i="11"/>
  <c r="J495" i="6"/>
  <c r="P142" i="6"/>
  <c r="P741" i="6"/>
  <c r="P445" i="6"/>
  <c r="P446" i="6"/>
  <c r="P492" i="6"/>
  <c r="M495" i="6"/>
  <c r="F389" i="6"/>
  <c r="L322" i="6"/>
  <c r="L323" i="6"/>
  <c r="E322" i="6"/>
  <c r="E323" i="6"/>
  <c r="G389" i="6"/>
  <c r="H530" i="6"/>
  <c r="H531" i="6"/>
  <c r="L495" i="6"/>
  <c r="M496" i="6"/>
  <c r="E495" i="6"/>
  <c r="E496" i="6"/>
  <c r="P241" i="6"/>
  <c r="H389" i="6"/>
  <c r="K389" i="6"/>
  <c r="I495" i="6"/>
  <c r="J322" i="6"/>
  <c r="P240" i="6"/>
  <c r="J82" i="11"/>
  <c r="J107" i="11"/>
  <c r="O313" i="6"/>
  <c r="P319" i="6"/>
  <c r="M322" i="6"/>
  <c r="P320" i="6"/>
  <c r="J633" i="6"/>
  <c r="P149" i="6"/>
  <c r="M736" i="6"/>
  <c r="G530" i="6"/>
  <c r="G531" i="6"/>
  <c r="P585" i="6"/>
  <c r="P148" i="6"/>
  <c r="I116" i="5"/>
  <c r="I126" i="5"/>
  <c r="N736" i="6"/>
  <c r="P127" i="6"/>
  <c r="M540" i="6"/>
  <c r="M577" i="6"/>
  <c r="M578" i="6"/>
  <c r="J790" i="6"/>
  <c r="J316" i="5"/>
  <c r="N410" i="11"/>
  <c r="N425" i="11"/>
  <c r="P726" i="6"/>
  <c r="G23" i="13"/>
  <c r="I790" i="6"/>
  <c r="I316" i="5"/>
  <c r="I337" i="11"/>
  <c r="N82" i="11"/>
  <c r="N107" i="11"/>
  <c r="L188" i="11"/>
  <c r="N352" i="11"/>
  <c r="P352" i="11"/>
  <c r="P724" i="6"/>
  <c r="O727" i="6"/>
  <c r="N472" i="11"/>
  <c r="P752" i="6"/>
  <c r="L24" i="11"/>
  <c r="M539" i="6"/>
  <c r="H173" i="11"/>
  <c r="L233" i="11"/>
  <c r="L271" i="11"/>
  <c r="L736" i="6"/>
  <c r="P734" i="6"/>
  <c r="L116" i="5"/>
  <c r="L126" i="5"/>
  <c r="K82" i="11"/>
  <c r="K107" i="11"/>
  <c r="P351" i="11"/>
  <c r="F336" i="11"/>
  <c r="L82" i="11"/>
  <c r="L107" i="11"/>
  <c r="P732" i="6"/>
  <c r="G116" i="5"/>
  <c r="G126" i="5"/>
  <c r="O271" i="11"/>
  <c r="H790" i="6"/>
  <c r="H316" i="5"/>
  <c r="N474" i="11"/>
  <c r="M790" i="6"/>
  <c r="M316" i="5"/>
  <c r="I539" i="6"/>
  <c r="N473" i="11"/>
  <c r="M164" i="6"/>
  <c r="P353" i="11"/>
  <c r="P730" i="6"/>
  <c r="P23" i="11"/>
  <c r="P25" i="11"/>
  <c r="L437" i="11"/>
  <c r="L438" i="11"/>
  <c r="F110" i="11"/>
  <c r="F109" i="11"/>
  <c r="K373" i="11"/>
  <c r="K370" i="11"/>
  <c r="M436" i="11"/>
  <c r="G69" i="11"/>
  <c r="J272" i="11"/>
  <c r="H259" i="11"/>
  <c r="H243" i="11"/>
  <c r="H200" i="11"/>
  <c r="H198" i="11"/>
  <c r="H204" i="11"/>
  <c r="H208" i="11"/>
  <c r="H193" i="11"/>
  <c r="H194" i="11"/>
  <c r="H199" i="11"/>
  <c r="H196" i="11"/>
  <c r="H202" i="11"/>
  <c r="H188" i="11"/>
  <c r="H191" i="11"/>
  <c r="H205" i="11"/>
  <c r="H203" i="11"/>
  <c r="H207" i="11"/>
  <c r="H201" i="11"/>
  <c r="H230" i="11"/>
  <c r="H195" i="11"/>
  <c r="H232" i="11"/>
  <c r="H236" i="11"/>
  <c r="H190" i="11"/>
  <c r="H197" i="11"/>
  <c r="H276" i="11"/>
  <c r="H192" i="11"/>
  <c r="H231" i="11"/>
  <c r="H235" i="11"/>
  <c r="K437" i="11"/>
  <c r="K438" i="11"/>
  <c r="H110" i="11"/>
  <c r="H109" i="11"/>
  <c r="O401" i="11"/>
  <c r="O398" i="11"/>
  <c r="N277" i="11"/>
  <c r="E243" i="11"/>
  <c r="E259" i="11"/>
  <c r="E200" i="11"/>
  <c r="E199" i="11"/>
  <c r="E195" i="11"/>
  <c r="E196" i="11"/>
  <c r="E204" i="11"/>
  <c r="E208" i="11"/>
  <c r="E198" i="11"/>
  <c r="E193" i="11"/>
  <c r="E203" i="11"/>
  <c r="E207" i="11"/>
  <c r="E232" i="11"/>
  <c r="E236" i="11"/>
  <c r="E231" i="11"/>
  <c r="E235" i="11"/>
  <c r="E191" i="11"/>
  <c r="E202" i="11"/>
  <c r="E201" i="11"/>
  <c r="E190" i="11"/>
  <c r="E194" i="11"/>
  <c r="E230" i="11"/>
  <c r="E197" i="11"/>
  <c r="E276" i="11"/>
  <c r="E192" i="11"/>
  <c r="G243" i="11"/>
  <c r="G259" i="11"/>
  <c r="G200" i="11"/>
  <c r="G199" i="11"/>
  <c r="G198" i="11"/>
  <c r="G196" i="11"/>
  <c r="G231" i="11"/>
  <c r="G235" i="11"/>
  <c r="G204" i="11"/>
  <c r="G208" i="11"/>
  <c r="G193" i="11"/>
  <c r="G195" i="11"/>
  <c r="G203" i="11"/>
  <c r="G207" i="11"/>
  <c r="G190" i="11"/>
  <c r="G201" i="11"/>
  <c r="G232" i="11"/>
  <c r="G236" i="11"/>
  <c r="G194" i="11"/>
  <c r="G202" i="11"/>
  <c r="G205" i="11"/>
  <c r="G191" i="11"/>
  <c r="G233" i="11"/>
  <c r="G188" i="11"/>
  <c r="G192" i="11"/>
  <c r="G230" i="11"/>
  <c r="G197" i="11"/>
  <c r="G276" i="11"/>
  <c r="E436" i="11"/>
  <c r="N669" i="6"/>
  <c r="N668" i="6"/>
  <c r="N633" i="6"/>
  <c r="N653" i="6"/>
  <c r="N637" i="6"/>
  <c r="N672" i="6"/>
  <c r="N634" i="6"/>
  <c r="N671" i="6"/>
  <c r="N652" i="6"/>
  <c r="E246" i="11"/>
  <c r="E271" i="11"/>
  <c r="L243" i="11"/>
  <c r="L199" i="11"/>
  <c r="L198" i="11"/>
  <c r="L203" i="11"/>
  <c r="L207" i="11"/>
  <c r="L200" i="11"/>
  <c r="L193" i="11"/>
  <c r="L202" i="11"/>
  <c r="L201" i="11"/>
  <c r="L191" i="11"/>
  <c r="L230" i="11"/>
  <c r="L204" i="11"/>
  <c r="L208" i="11"/>
  <c r="L190" i="11"/>
  <c r="L231" i="11"/>
  <c r="L235" i="11"/>
  <c r="L276" i="11"/>
  <c r="L232" i="11"/>
  <c r="L236" i="11"/>
  <c r="L205" i="11"/>
  <c r="L192" i="11"/>
  <c r="G438" i="11"/>
  <c r="G437" i="11"/>
  <c r="N362" i="11"/>
  <c r="N363" i="11"/>
  <c r="N357" i="11"/>
  <c r="N450" i="11"/>
  <c r="N367" i="11"/>
  <c r="N371" i="11"/>
  <c r="N395" i="11"/>
  <c r="N399" i="11"/>
  <c r="N358" i="11"/>
  <c r="N359" i="11"/>
  <c r="P359" i="11"/>
  <c r="N366" i="11"/>
  <c r="P366" i="11"/>
  <c r="N364" i="11"/>
  <c r="N360" i="11"/>
  <c r="P360" i="11"/>
  <c r="N394" i="11"/>
  <c r="P394" i="11"/>
  <c r="N368" i="11"/>
  <c r="N372" i="11"/>
  <c r="N354" i="11"/>
  <c r="P354" i="11"/>
  <c r="N365" i="11"/>
  <c r="P365" i="11"/>
  <c r="N355" i="11"/>
  <c r="P355" i="11"/>
  <c r="N361" i="11"/>
  <c r="N440" i="11"/>
  <c r="N369" i="11"/>
  <c r="N396" i="11"/>
  <c r="N400" i="11"/>
  <c r="N356" i="11"/>
  <c r="P356" i="11"/>
  <c r="F237" i="11"/>
  <c r="F234" i="11"/>
  <c r="J441" i="11"/>
  <c r="N237" i="11"/>
  <c r="N234" i="11"/>
  <c r="N272" i="11"/>
  <c r="F209" i="11"/>
  <c r="F206" i="11"/>
  <c r="H23" i="13"/>
  <c r="G540" i="6"/>
  <c r="G541" i="6"/>
  <c r="H541" i="6"/>
  <c r="H108" i="11"/>
  <c r="L370" i="11"/>
  <c r="L373" i="11"/>
  <c r="K243" i="11"/>
  <c r="K259" i="11"/>
  <c r="K200" i="11"/>
  <c r="K198" i="11"/>
  <c r="K199" i="11"/>
  <c r="K194" i="11"/>
  <c r="K202" i="11"/>
  <c r="K204" i="11"/>
  <c r="K208" i="11"/>
  <c r="K193" i="11"/>
  <c r="K196" i="11"/>
  <c r="K191" i="11"/>
  <c r="K195" i="11"/>
  <c r="K203" i="11"/>
  <c r="K207" i="11"/>
  <c r="K201" i="11"/>
  <c r="K232" i="11"/>
  <c r="K236" i="11"/>
  <c r="K190" i="11"/>
  <c r="K230" i="11"/>
  <c r="K205" i="11"/>
  <c r="K197" i="11"/>
  <c r="K276" i="11"/>
  <c r="K233" i="11"/>
  <c r="K192" i="11"/>
  <c r="K231" i="11"/>
  <c r="K235" i="11"/>
  <c r="I206" i="11"/>
  <c r="I209" i="11"/>
  <c r="H113" i="11"/>
  <c r="O441" i="11"/>
  <c r="M73" i="11"/>
  <c r="M70" i="11"/>
  <c r="F277" i="11"/>
  <c r="J237" i="11"/>
  <c r="J234" i="11"/>
  <c r="I401" i="11"/>
  <c r="I398" i="11"/>
  <c r="I436" i="11"/>
  <c r="J437" i="11"/>
  <c r="J438" i="11"/>
  <c r="M272" i="11"/>
  <c r="K441" i="11"/>
  <c r="N164" i="6"/>
  <c r="I736" i="6"/>
  <c r="O232" i="6"/>
  <c r="F373" i="11"/>
  <c r="F370" i="11"/>
  <c r="M277" i="11"/>
  <c r="I273" i="11"/>
  <c r="I274" i="11"/>
  <c r="O438" i="11"/>
  <c r="O437" i="11"/>
  <c r="O436" i="11"/>
  <c r="N540" i="6"/>
  <c r="N539" i="6"/>
  <c r="G398" i="11"/>
  <c r="G401" i="11"/>
  <c r="F274" i="11"/>
  <c r="F273" i="11"/>
  <c r="H398" i="11"/>
  <c r="H401" i="11"/>
  <c r="M108" i="11"/>
  <c r="E79" i="11"/>
  <c r="E36" i="11"/>
  <c r="E35" i="11"/>
  <c r="E40" i="11"/>
  <c r="E44" i="11"/>
  <c r="E31" i="11"/>
  <c r="E32" i="11"/>
  <c r="E39" i="11"/>
  <c r="E43" i="11"/>
  <c r="E34" i="11"/>
  <c r="E29" i="11"/>
  <c r="E26" i="11"/>
  <c r="E68" i="11"/>
  <c r="E72" i="11"/>
  <c r="E38" i="11"/>
  <c r="E37" i="11"/>
  <c r="E27" i="11"/>
  <c r="E30" i="11"/>
  <c r="E67" i="11"/>
  <c r="E71" i="11"/>
  <c r="E66" i="11"/>
  <c r="E33" i="11"/>
  <c r="E112" i="11"/>
  <c r="E28" i="11"/>
  <c r="E41" i="11"/>
  <c r="E69" i="11"/>
  <c r="E441" i="11"/>
  <c r="P728" i="6"/>
  <c r="M441" i="11"/>
  <c r="G79" i="11"/>
  <c r="G36" i="11"/>
  <c r="G35" i="11"/>
  <c r="G39" i="11"/>
  <c r="G43" i="11"/>
  <c r="G40" i="11"/>
  <c r="G44" i="11"/>
  <c r="G31" i="11"/>
  <c r="G29" i="11"/>
  <c r="G32" i="11"/>
  <c r="G34" i="11"/>
  <c r="G26" i="11"/>
  <c r="G30" i="11"/>
  <c r="G67" i="11"/>
  <c r="G71" i="11"/>
  <c r="G38" i="11"/>
  <c r="G37" i="11"/>
  <c r="G27" i="11"/>
  <c r="G68" i="11"/>
  <c r="G72" i="11"/>
  <c r="G66" i="11"/>
  <c r="G28" i="11"/>
  <c r="G24" i="11"/>
  <c r="G33" i="11"/>
  <c r="G112" i="11"/>
  <c r="M113" i="11"/>
  <c r="N274" i="11"/>
  <c r="N273" i="11"/>
  <c r="F438" i="11"/>
  <c r="F437" i="11"/>
  <c r="F73" i="11"/>
  <c r="F70" i="11"/>
  <c r="J398" i="11"/>
  <c r="J401" i="11"/>
  <c r="M237" i="11"/>
  <c r="M234" i="11"/>
  <c r="I234" i="11"/>
  <c r="I237" i="11"/>
  <c r="I272" i="11"/>
  <c r="O373" i="11"/>
  <c r="O370" i="11"/>
  <c r="O540" i="6"/>
  <c r="O539" i="6"/>
  <c r="G436" i="11"/>
  <c r="H441" i="11"/>
  <c r="J277" i="11"/>
  <c r="I277" i="11"/>
  <c r="H73" i="11"/>
  <c r="H70" i="11"/>
  <c r="E370" i="11"/>
  <c r="E373" i="11"/>
  <c r="H246" i="11"/>
  <c r="H271" i="11"/>
  <c r="H736" i="6"/>
  <c r="H116" i="5"/>
  <c r="H126" i="5"/>
  <c r="L441" i="11"/>
  <c r="J209" i="11"/>
  <c r="J206" i="11"/>
  <c r="F108" i="11"/>
  <c r="I438" i="11"/>
  <c r="I437" i="11"/>
  <c r="J436" i="11"/>
  <c r="K79" i="11"/>
  <c r="K35" i="11"/>
  <c r="K36" i="11"/>
  <c r="K32" i="11"/>
  <c r="K68" i="11"/>
  <c r="K72" i="11"/>
  <c r="K31" i="11"/>
  <c r="K40" i="11"/>
  <c r="K44" i="11"/>
  <c r="K29" i="11"/>
  <c r="K39" i="11"/>
  <c r="K43" i="11"/>
  <c r="K34" i="11"/>
  <c r="K37" i="11"/>
  <c r="K67" i="11"/>
  <c r="K71" i="11"/>
  <c r="K38" i="11"/>
  <c r="K30" i="11"/>
  <c r="K27" i="11"/>
  <c r="K26" i="11"/>
  <c r="K33" i="11"/>
  <c r="K112" i="11"/>
  <c r="K66" i="11"/>
  <c r="K28" i="11"/>
  <c r="K24" i="11"/>
  <c r="M401" i="11"/>
  <c r="M398" i="11"/>
  <c r="M373" i="11"/>
  <c r="M370" i="11"/>
  <c r="N209" i="11"/>
  <c r="N206" i="11"/>
  <c r="L79" i="11"/>
  <c r="L36" i="11"/>
  <c r="L68" i="11"/>
  <c r="L72" i="11"/>
  <c r="L32" i="11"/>
  <c r="L29" i="11"/>
  <c r="L34" i="11"/>
  <c r="L35" i="11"/>
  <c r="L40" i="11"/>
  <c r="L44" i="11"/>
  <c r="L31" i="11"/>
  <c r="L27" i="11"/>
  <c r="L26" i="11"/>
  <c r="L39" i="11"/>
  <c r="L43" i="11"/>
  <c r="L67" i="11"/>
  <c r="L71" i="11"/>
  <c r="L30" i="11"/>
  <c r="L37" i="11"/>
  <c r="L38" i="11"/>
  <c r="L28" i="11"/>
  <c r="L66" i="11"/>
  <c r="L33" i="11"/>
  <c r="L112" i="11"/>
  <c r="L69" i="11"/>
  <c r="G82" i="11"/>
  <c r="G107" i="11"/>
  <c r="E438" i="11"/>
  <c r="E437" i="11"/>
  <c r="G441" i="11"/>
  <c r="G373" i="11"/>
  <c r="G370" i="11"/>
  <c r="H373" i="11"/>
  <c r="H370" i="11"/>
  <c r="I441" i="11"/>
  <c r="J370" i="11"/>
  <c r="J373" i="11"/>
  <c r="H436" i="11"/>
  <c r="K436" i="11"/>
  <c r="M438" i="11"/>
  <c r="M437" i="11"/>
  <c r="M274" i="11"/>
  <c r="M273" i="11"/>
  <c r="H42" i="11"/>
  <c r="E401" i="11"/>
  <c r="E398" i="11"/>
  <c r="N79" i="11"/>
  <c r="N34" i="11"/>
  <c r="N30" i="11"/>
  <c r="N29" i="11"/>
  <c r="N35" i="11"/>
  <c r="N38" i="11"/>
  <c r="N36" i="11"/>
  <c r="N31" i="11"/>
  <c r="N39" i="11"/>
  <c r="N43" i="11"/>
  <c r="N37" i="11"/>
  <c r="N66" i="11"/>
  <c r="N27" i="11"/>
  <c r="N26" i="11"/>
  <c r="N32" i="11"/>
  <c r="N40" i="11"/>
  <c r="N44" i="11"/>
  <c r="N68" i="11"/>
  <c r="N72" i="11"/>
  <c r="N67" i="11"/>
  <c r="N71" i="11"/>
  <c r="N33" i="11"/>
  <c r="N112" i="11"/>
  <c r="N28" i="11"/>
  <c r="L398" i="11"/>
  <c r="L401" i="11"/>
  <c r="L436" i="11"/>
  <c r="F401" i="11"/>
  <c r="F398" i="11"/>
  <c r="I373" i="11"/>
  <c r="I370" i="11"/>
  <c r="N210" i="11"/>
  <c r="N214" i="11"/>
  <c r="N253" i="11"/>
  <c r="N219" i="11"/>
  <c r="N254" i="11"/>
  <c r="N220" i="11"/>
  <c r="N224" i="11"/>
  <c r="N255" i="11"/>
  <c r="N704" i="6"/>
  <c r="N225" i="11"/>
  <c r="N229" i="11"/>
  <c r="N256" i="11"/>
  <c r="N627" i="6"/>
  <c r="N714" i="6"/>
  <c r="N238" i="11"/>
  <c r="N242" i="11"/>
  <c r="N257" i="11"/>
  <c r="N258" i="11"/>
  <c r="N262" i="11"/>
  <c r="N263" i="11"/>
  <c r="N264" i="11"/>
  <c r="N265" i="11"/>
  <c r="N245" i="11"/>
  <c r="N266" i="11"/>
  <c r="N267" i="11"/>
  <c r="N275" i="11"/>
  <c r="N278" i="11"/>
  <c r="N280" i="11"/>
  <c r="N281" i="11"/>
  <c r="N282" i="11"/>
  <c r="N283" i="11"/>
  <c r="N284" i="11"/>
  <c r="N286" i="11"/>
  <c r="F45" i="11"/>
  <c r="F42" i="11"/>
  <c r="M42" i="11"/>
  <c r="H437" i="11"/>
  <c r="H438" i="11"/>
  <c r="P162" i="6"/>
  <c r="P161" i="6"/>
  <c r="P147" i="6"/>
  <c r="O621" i="6"/>
  <c r="O622" i="6"/>
  <c r="O586" i="6"/>
  <c r="O624" i="6"/>
  <c r="O625" i="6"/>
  <c r="O605" i="6"/>
  <c r="O606" i="6"/>
  <c r="J273" i="11"/>
  <c r="J274" i="11"/>
  <c r="F441" i="11"/>
  <c r="F436" i="11"/>
  <c r="F113" i="11"/>
  <c r="K401" i="11"/>
  <c r="K398" i="11"/>
  <c r="M206" i="11"/>
  <c r="M209" i="11"/>
  <c r="P538" i="6"/>
  <c r="M109" i="11"/>
  <c r="M110" i="11"/>
  <c r="O79" i="11"/>
  <c r="O34" i="11"/>
  <c r="O36" i="11"/>
  <c r="O35" i="11"/>
  <c r="O30" i="11"/>
  <c r="O66" i="11"/>
  <c r="O38" i="11"/>
  <c r="O29" i="11"/>
  <c r="O67" i="11"/>
  <c r="O71" i="11"/>
  <c r="O31" i="11"/>
  <c r="O40" i="11"/>
  <c r="O44" i="11"/>
  <c r="O37" i="11"/>
  <c r="O27" i="11"/>
  <c r="O26" i="11"/>
  <c r="O32" i="11"/>
  <c r="O39" i="11"/>
  <c r="O43" i="11"/>
  <c r="O68" i="11"/>
  <c r="O72" i="11"/>
  <c r="O28" i="11"/>
  <c r="O24" i="11"/>
  <c r="O33" i="11"/>
  <c r="O112" i="11"/>
  <c r="O243" i="11"/>
  <c r="O198" i="11"/>
  <c r="O200" i="11"/>
  <c r="O199" i="11"/>
  <c r="O193" i="11"/>
  <c r="O202" i="11"/>
  <c r="O232" i="11"/>
  <c r="O236" i="11"/>
  <c r="O204" i="11"/>
  <c r="O208" i="11"/>
  <c r="O191" i="11"/>
  <c r="O190" i="11"/>
  <c r="O230" i="11"/>
  <c r="O201" i="11"/>
  <c r="O205" i="11"/>
  <c r="O203" i="11"/>
  <c r="O207" i="11"/>
  <c r="O192" i="11"/>
  <c r="O231" i="11"/>
  <c r="O235" i="11"/>
  <c r="O276" i="11"/>
  <c r="G246" i="11"/>
  <c r="G271" i="11"/>
  <c r="F272" i="11"/>
  <c r="N389" i="6"/>
  <c r="N322" i="6"/>
  <c r="N697" i="6"/>
  <c r="P155" i="6"/>
  <c r="O359" i="6"/>
  <c r="N358" i="6"/>
  <c r="O375" i="6"/>
  <c r="N392" i="6"/>
  <c r="P493" i="6"/>
  <c r="N533" i="6"/>
  <c r="N707" i="6"/>
  <c r="L496" i="6"/>
  <c r="L515" i="6"/>
  <c r="N515" i="6"/>
  <c r="N495" i="6"/>
  <c r="P787" i="6"/>
  <c r="M173" i="11"/>
  <c r="N401" i="6"/>
  <c r="E401" i="6"/>
  <c r="E402" i="6"/>
  <c r="O436" i="6"/>
  <c r="O437" i="6"/>
  <c r="F405" i="6"/>
  <c r="F401" i="6"/>
  <c r="I672" i="6"/>
  <c r="N116" i="5"/>
  <c r="N126" i="5"/>
  <c r="P399" i="6"/>
  <c r="M401" i="6"/>
  <c r="K672" i="6"/>
  <c r="F231" i="6"/>
  <c r="F232" i="6"/>
  <c r="M127" i="5"/>
  <c r="P740" i="6"/>
  <c r="N24" i="11"/>
  <c r="P398" i="6"/>
  <c r="K790" i="6"/>
  <c r="K316" i="5"/>
  <c r="N790" i="6"/>
  <c r="N316" i="5"/>
  <c r="K401" i="6"/>
  <c r="H672" i="6"/>
  <c r="K164" i="6"/>
  <c r="M636" i="6"/>
  <c r="E164" i="6"/>
  <c r="E165" i="6"/>
  <c r="G310" i="6"/>
  <c r="G311" i="6"/>
  <c r="P137" i="6"/>
  <c r="P458" i="5"/>
  <c r="L790" i="6"/>
  <c r="L316" i="5"/>
  <c r="P170" i="5"/>
  <c r="P171" i="5"/>
  <c r="E542" i="6"/>
  <c r="E543" i="6"/>
  <c r="K116" i="5"/>
  <c r="K126" i="5"/>
  <c r="P137" i="5"/>
  <c r="P140" i="5"/>
  <c r="P191" i="5"/>
  <c r="K188" i="11"/>
  <c r="J499" i="11"/>
  <c r="K736" i="6"/>
  <c r="O116" i="5"/>
  <c r="O126" i="5"/>
  <c r="P788" i="6"/>
  <c r="K540" i="6"/>
  <c r="O790" i="6"/>
  <c r="O316" i="5"/>
  <c r="H501" i="11"/>
  <c r="E499" i="11"/>
  <c r="I500" i="11"/>
  <c r="H586" i="6"/>
  <c r="P189" i="11"/>
  <c r="O188" i="11"/>
  <c r="F17" i="10"/>
  <c r="F127" i="5"/>
  <c r="F21" i="10"/>
  <c r="G624" i="6"/>
  <c r="E717" i="6"/>
  <c r="E402" i="11"/>
  <c r="E675" i="6"/>
  <c r="F483" i="6"/>
  <c r="F577" i="6"/>
  <c r="F542" i="6"/>
  <c r="E153" i="6"/>
  <c r="E116" i="5"/>
  <c r="G483" i="6"/>
  <c r="O704" i="6"/>
  <c r="O487" i="6"/>
  <c r="O450" i="11"/>
  <c r="H577" i="6"/>
  <c r="H542" i="6"/>
  <c r="L484" i="6"/>
  <c r="H164" i="6"/>
  <c r="P172" i="5"/>
  <c r="E636" i="6"/>
  <c r="E637" i="6"/>
  <c r="N314" i="6"/>
  <c r="G586" i="6"/>
  <c r="L636" i="6"/>
  <c r="G164" i="6"/>
  <c r="O717" i="6"/>
  <c r="O402" i="11"/>
  <c r="O675" i="6"/>
  <c r="H436" i="6"/>
  <c r="H401" i="6"/>
  <c r="E143" i="5"/>
  <c r="P141" i="5"/>
  <c r="E145" i="5"/>
  <c r="E672" i="6"/>
  <c r="E711" i="6"/>
  <c r="E581" i="6"/>
  <c r="F193" i="5"/>
  <c r="P193" i="5"/>
  <c r="F195" i="5"/>
  <c r="P195" i="5"/>
  <c r="F586" i="6"/>
  <c r="K586" i="6"/>
  <c r="I586" i="6"/>
  <c r="J586" i="6"/>
  <c r="L586" i="6"/>
  <c r="M586" i="6"/>
  <c r="P735" i="6"/>
  <c r="L310" i="6"/>
  <c r="I483" i="6"/>
  <c r="F143" i="5"/>
  <c r="F145" i="5"/>
  <c r="F640" i="6"/>
  <c r="G641" i="6"/>
  <c r="L390" i="6"/>
  <c r="J577" i="6"/>
  <c r="J542" i="6"/>
  <c r="G436" i="6"/>
  <c r="G401" i="6"/>
  <c r="J436" i="6"/>
  <c r="J401" i="6"/>
  <c r="L164" i="6"/>
  <c r="J164" i="6"/>
  <c r="H483" i="6"/>
  <c r="I310" i="6"/>
  <c r="I164" i="6"/>
  <c r="E624" i="6"/>
  <c r="E625" i="6"/>
  <c r="E586" i="6"/>
  <c r="M310" i="6"/>
  <c r="J672" i="6"/>
  <c r="H310" i="6"/>
  <c r="E701" i="6"/>
  <c r="E440" i="6"/>
  <c r="F672" i="6"/>
  <c r="L577" i="6"/>
  <c r="L542" i="6"/>
  <c r="I127" i="5"/>
  <c r="L531" i="6"/>
  <c r="E707" i="6"/>
  <c r="E389" i="11"/>
  <c r="E534" i="6"/>
  <c r="E531" i="6"/>
  <c r="E188" i="11"/>
  <c r="E24" i="11"/>
  <c r="J484" i="6"/>
  <c r="L436" i="6"/>
  <c r="L401" i="6"/>
  <c r="I436" i="6"/>
  <c r="I401" i="6"/>
  <c r="P731" i="6"/>
  <c r="F310" i="6"/>
  <c r="E704" i="6"/>
  <c r="E487" i="6"/>
  <c r="E23" i="13"/>
  <c r="F790" i="6"/>
  <c r="F316" i="5"/>
  <c r="G651" i="6"/>
  <c r="G510" i="6"/>
  <c r="P104" i="5"/>
  <c r="O144" i="11"/>
  <c r="N97" i="11"/>
  <c r="O145" i="11"/>
  <c r="N144" i="11"/>
  <c r="N402" i="6"/>
  <c r="O422" i="6"/>
  <c r="O146" i="11"/>
  <c r="O165" i="6"/>
  <c r="M107" i="11"/>
  <c r="M97" i="11"/>
  <c r="N146" i="11"/>
  <c r="N165" i="6"/>
  <c r="N145" i="11"/>
  <c r="O402" i="6"/>
  <c r="O421" i="6"/>
  <c r="P192" i="5"/>
  <c r="P194" i="5"/>
  <c r="P142" i="5"/>
  <c r="P144" i="5"/>
  <c r="D315" i="5"/>
  <c r="F777" i="6"/>
  <c r="E772" i="6"/>
  <c r="P774" i="6"/>
  <c r="F763" i="6"/>
  <c r="E779" i="6"/>
  <c r="P767" i="6"/>
  <c r="P753" i="6"/>
  <c r="F770" i="6"/>
  <c r="E756" i="6"/>
  <c r="E757" i="6"/>
  <c r="P760" i="6"/>
  <c r="E763" i="6"/>
  <c r="E764" i="6"/>
  <c r="I146" i="11"/>
  <c r="I144" i="11"/>
  <c r="I145" i="11"/>
  <c r="F745" i="6"/>
  <c r="N276" i="5"/>
  <c r="H328" i="6"/>
  <c r="H170" i="6"/>
  <c r="E693" i="6"/>
  <c r="E215" i="11"/>
  <c r="E689" i="6"/>
  <c r="O697" i="6"/>
  <c r="O379" i="11"/>
  <c r="E697" i="6"/>
  <c r="E379" i="11"/>
  <c r="P742" i="6"/>
  <c r="P634" i="6"/>
  <c r="J636" i="6"/>
  <c r="I542" i="6"/>
  <c r="I543" i="6"/>
  <c r="J563" i="6"/>
  <c r="I166" i="11"/>
  <c r="I110" i="11"/>
  <c r="I167" i="11"/>
  <c r="I165" i="11"/>
  <c r="I173" i="11"/>
  <c r="M128" i="5"/>
  <c r="I73" i="11"/>
  <c r="I108" i="11"/>
  <c r="E220" i="5"/>
  <c r="I317" i="5"/>
  <c r="K317" i="5"/>
  <c r="H220" i="5"/>
  <c r="N317" i="5"/>
  <c r="J220" i="5"/>
  <c r="K127" i="5"/>
  <c r="K220" i="5"/>
  <c r="L317" i="5"/>
  <c r="I113" i="11"/>
  <c r="I114" i="11"/>
  <c r="L220" i="5"/>
  <c r="M220" i="5"/>
  <c r="J127" i="5"/>
  <c r="I220" i="5"/>
  <c r="G127" i="5"/>
  <c r="G317" i="5"/>
  <c r="M317" i="5"/>
  <c r="O317" i="5"/>
  <c r="H317" i="5"/>
  <c r="N220" i="5"/>
  <c r="G220" i="5"/>
  <c r="P52" i="13"/>
  <c r="F746" i="6"/>
  <c r="E744" i="6"/>
  <c r="E747" i="6"/>
  <c r="E26" i="10"/>
  <c r="K496" i="6"/>
  <c r="K515" i="6"/>
  <c r="J637" i="6"/>
  <c r="J656" i="6"/>
  <c r="J323" i="6"/>
  <c r="J358" i="6"/>
  <c r="K310" i="11"/>
  <c r="K308" i="11"/>
  <c r="K309" i="11"/>
  <c r="K261" i="11"/>
  <c r="E156" i="6"/>
  <c r="E126" i="5"/>
  <c r="L145" i="11"/>
  <c r="L144" i="11"/>
  <c r="K144" i="11"/>
  <c r="J145" i="11"/>
  <c r="L146" i="11"/>
  <c r="L97" i="11"/>
  <c r="J144" i="11"/>
  <c r="K146" i="11"/>
  <c r="K145" i="11"/>
  <c r="J146" i="11"/>
  <c r="K97" i="11"/>
  <c r="J97" i="11"/>
  <c r="L358" i="6"/>
  <c r="O361" i="6"/>
  <c r="M361" i="6"/>
  <c r="N379" i="11"/>
  <c r="N381" i="11"/>
  <c r="N458" i="11"/>
  <c r="I637" i="6"/>
  <c r="J657" i="6"/>
  <c r="H637" i="6"/>
  <c r="I657" i="6"/>
  <c r="I541" i="6"/>
  <c r="I496" i="6"/>
  <c r="I515" i="6"/>
  <c r="G577" i="6"/>
  <c r="G578" i="6"/>
  <c r="G496" i="6"/>
  <c r="G515" i="6"/>
  <c r="H496" i="6"/>
  <c r="H515" i="6"/>
  <c r="N217" i="11"/>
  <c r="N294" i="11"/>
  <c r="O215" i="11"/>
  <c r="O217" i="11"/>
  <c r="O294" i="11"/>
  <c r="N216" i="11"/>
  <c r="N293" i="11"/>
  <c r="N696" i="6"/>
  <c r="N374" i="11"/>
  <c r="G390" i="6"/>
  <c r="K390" i="6"/>
  <c r="H390" i="6"/>
  <c r="F390" i="6"/>
  <c r="O696" i="6"/>
  <c r="O374" i="11"/>
  <c r="J390" i="6"/>
  <c r="I390" i="6"/>
  <c r="M390" i="6"/>
  <c r="D145" i="5"/>
  <c r="P139" i="5"/>
  <c r="D143" i="5"/>
  <c r="E393" i="6"/>
  <c r="H323" i="6"/>
  <c r="E696" i="6"/>
  <c r="E374" i="11"/>
  <c r="I323" i="6"/>
  <c r="G323" i="6"/>
  <c r="E314" i="6"/>
  <c r="G165" i="6"/>
  <c r="E232" i="6"/>
  <c r="E235" i="6"/>
  <c r="J126" i="5"/>
  <c r="P116" i="5"/>
  <c r="P23" i="13"/>
  <c r="G409" i="11"/>
  <c r="M435" i="11"/>
  <c r="M492" i="11"/>
  <c r="N435" i="11"/>
  <c r="O435" i="11"/>
  <c r="P425" i="11"/>
  <c r="J409" i="11"/>
  <c r="I409" i="11"/>
  <c r="K409" i="11"/>
  <c r="E409" i="11"/>
  <c r="O409" i="11"/>
  <c r="M409" i="11"/>
  <c r="H409" i="11"/>
  <c r="F409" i="11"/>
  <c r="L409" i="11"/>
  <c r="G261" i="11"/>
  <c r="H261" i="11"/>
  <c r="E261" i="11"/>
  <c r="F245" i="11"/>
  <c r="I245" i="11"/>
  <c r="J245" i="11"/>
  <c r="M245" i="11"/>
  <c r="E97" i="11"/>
  <c r="G97" i="11"/>
  <c r="I107" i="11"/>
  <c r="M262" i="11"/>
  <c r="F81" i="11"/>
  <c r="F262" i="11"/>
  <c r="H308" i="11"/>
  <c r="J262" i="11"/>
  <c r="H309" i="11"/>
  <c r="I262" i="11"/>
  <c r="G309" i="11"/>
  <c r="E310" i="11"/>
  <c r="E308" i="11"/>
  <c r="E309" i="11"/>
  <c r="H310" i="11"/>
  <c r="G308" i="11"/>
  <c r="G310" i="11"/>
  <c r="G146" i="11"/>
  <c r="G144" i="11"/>
  <c r="G145" i="11"/>
  <c r="E146" i="11"/>
  <c r="E144" i="11"/>
  <c r="E145" i="11"/>
  <c r="F98" i="11"/>
  <c r="K426" i="11"/>
  <c r="P727" i="6"/>
  <c r="O426" i="11"/>
  <c r="F426" i="11"/>
  <c r="E426" i="11"/>
  <c r="J426" i="11"/>
  <c r="M426" i="11"/>
  <c r="I426" i="11"/>
  <c r="H426" i="11"/>
  <c r="G426" i="11"/>
  <c r="L426" i="11"/>
  <c r="P95" i="11"/>
  <c r="H329" i="11"/>
  <c r="E330" i="11"/>
  <c r="H331" i="11"/>
  <c r="P364" i="11"/>
  <c r="N495" i="11"/>
  <c r="P495" i="11"/>
  <c r="P362" i="11"/>
  <c r="N493" i="11"/>
  <c r="P493" i="11"/>
  <c r="L330" i="11"/>
  <c r="E331" i="11"/>
  <c r="P363" i="11"/>
  <c r="N494" i="11"/>
  <c r="P494" i="11"/>
  <c r="L331" i="11"/>
  <c r="E165" i="11"/>
  <c r="G329" i="11"/>
  <c r="E329" i="11"/>
  <c r="H330" i="11"/>
  <c r="G330" i="11"/>
  <c r="O331" i="11"/>
  <c r="L165" i="11"/>
  <c r="K329" i="11"/>
  <c r="G331" i="11"/>
  <c r="O330" i="11"/>
  <c r="K330" i="11"/>
  <c r="O329" i="11"/>
  <c r="K331" i="11"/>
  <c r="L329" i="11"/>
  <c r="K167" i="11"/>
  <c r="G167" i="11"/>
  <c r="G165" i="11"/>
  <c r="J166" i="11"/>
  <c r="K165" i="11"/>
  <c r="L166" i="11"/>
  <c r="J167" i="11"/>
  <c r="N165" i="11"/>
  <c r="N167" i="11"/>
  <c r="J165" i="11"/>
  <c r="N166" i="11"/>
  <c r="L167" i="11"/>
  <c r="O165" i="11"/>
  <c r="E166" i="11"/>
  <c r="E167" i="11"/>
  <c r="O166" i="11"/>
  <c r="K166" i="11"/>
  <c r="O167" i="11"/>
  <c r="G166" i="11"/>
  <c r="P361" i="11"/>
  <c r="J113" i="11"/>
  <c r="N705" i="6"/>
  <c r="N706" i="6"/>
  <c r="O393" i="6"/>
  <c r="G500" i="6"/>
  <c r="J172" i="11"/>
  <c r="O707" i="6"/>
  <c r="O389" i="11"/>
  <c r="J73" i="11"/>
  <c r="O534" i="6"/>
  <c r="J108" i="11"/>
  <c r="J110" i="11"/>
  <c r="H499" i="6"/>
  <c r="P69" i="11"/>
  <c r="P633" i="6"/>
  <c r="P530" i="6"/>
  <c r="P495" i="6"/>
  <c r="P483" i="6"/>
  <c r="P448" i="6"/>
  <c r="P233" i="11"/>
  <c r="P195" i="11"/>
  <c r="P191" i="11"/>
  <c r="P194" i="11"/>
  <c r="P196" i="11"/>
  <c r="P260" i="11"/>
  <c r="P389" i="6"/>
  <c r="P190" i="11"/>
  <c r="P244" i="11"/>
  <c r="P743" i="6"/>
  <c r="P192" i="11"/>
  <c r="P188" i="11"/>
  <c r="P205" i="11"/>
  <c r="P436" i="6"/>
  <c r="P201" i="11"/>
  <c r="P231" i="6"/>
  <c r="L347" i="6"/>
  <c r="F323" i="6"/>
  <c r="K379" i="6"/>
  <c r="M323" i="6"/>
  <c r="N359" i="6"/>
  <c r="G343" i="6"/>
  <c r="I345" i="6"/>
  <c r="P322" i="6"/>
  <c r="H344" i="6"/>
  <c r="K347" i="6"/>
  <c r="J346" i="6"/>
  <c r="F326" i="6"/>
  <c r="F496" i="6"/>
  <c r="F515" i="6"/>
  <c r="O692" i="6"/>
  <c r="F342" i="6"/>
  <c r="P310" i="6"/>
  <c r="G327" i="6"/>
  <c r="J496" i="6"/>
  <c r="J515" i="6"/>
  <c r="K323" i="6"/>
  <c r="O314" i="6"/>
  <c r="P80" i="11"/>
  <c r="M542" i="6"/>
  <c r="M543" i="6"/>
  <c r="P357" i="11"/>
  <c r="I336" i="11"/>
  <c r="E46" i="11"/>
  <c r="I335" i="11"/>
  <c r="H172" i="11"/>
  <c r="N336" i="11"/>
  <c r="N337" i="11"/>
  <c r="O736" i="6"/>
  <c r="O82" i="11"/>
  <c r="P540" i="6"/>
  <c r="P27" i="11"/>
  <c r="L171" i="11"/>
  <c r="P33" i="11"/>
  <c r="P28" i="11"/>
  <c r="P30" i="11"/>
  <c r="P164" i="6"/>
  <c r="H111" i="11"/>
  <c r="E61" i="11"/>
  <c r="E74" i="11"/>
  <c r="F337" i="11"/>
  <c r="H171" i="11"/>
  <c r="H114" i="11"/>
  <c r="P38" i="11"/>
  <c r="L127" i="5"/>
  <c r="F335" i="11"/>
  <c r="J327" i="11"/>
  <c r="H127" i="5"/>
  <c r="P368" i="11"/>
  <c r="P367" i="11"/>
  <c r="P66" i="11"/>
  <c r="F278" i="11"/>
  <c r="F332" i="11"/>
  <c r="O627" i="6"/>
  <c r="M278" i="11"/>
  <c r="M333" i="11"/>
  <c r="E225" i="11"/>
  <c r="P395" i="11"/>
  <c r="N327" i="11"/>
  <c r="P79" i="11"/>
  <c r="K171" i="11"/>
  <c r="L337" i="11"/>
  <c r="P41" i="11"/>
  <c r="P37" i="11"/>
  <c r="P539" i="6"/>
  <c r="M328" i="11"/>
  <c r="I275" i="11"/>
  <c r="N674" i="6"/>
  <c r="N328" i="11"/>
  <c r="F163" i="11"/>
  <c r="I326" i="11"/>
  <c r="I247" i="11"/>
  <c r="G542" i="6"/>
  <c r="H543" i="6"/>
  <c r="N326" i="11"/>
  <c r="F275" i="11"/>
  <c r="P31" i="11"/>
  <c r="P34" i="11"/>
  <c r="P32" i="11"/>
  <c r="I278" i="11"/>
  <c r="I332" i="11"/>
  <c r="G337" i="11"/>
  <c r="P358" i="11"/>
  <c r="P24" i="11"/>
  <c r="P96" i="11"/>
  <c r="P26" i="11"/>
  <c r="F111" i="11"/>
  <c r="N332" i="11"/>
  <c r="O225" i="11"/>
  <c r="O272" i="11"/>
  <c r="K42" i="11"/>
  <c r="G113" i="11"/>
  <c r="G42" i="11"/>
  <c r="E45" i="11"/>
  <c r="E42" i="11"/>
  <c r="L273" i="11"/>
  <c r="L274" i="11"/>
  <c r="G234" i="11"/>
  <c r="G237" i="11"/>
  <c r="E274" i="11"/>
  <c r="E273" i="11"/>
  <c r="H237" i="11"/>
  <c r="H234" i="11"/>
  <c r="J275" i="11"/>
  <c r="F326" i="11"/>
  <c r="P586" i="6"/>
  <c r="F114" i="11"/>
  <c r="F83" i="11"/>
  <c r="F164" i="11"/>
  <c r="L42" i="11"/>
  <c r="K234" i="11"/>
  <c r="K237" i="11"/>
  <c r="K274" i="11"/>
  <c r="K273" i="11"/>
  <c r="N401" i="11"/>
  <c r="N398" i="11"/>
  <c r="N438" i="11"/>
  <c r="P438" i="11"/>
  <c r="N437" i="11"/>
  <c r="P437" i="11"/>
  <c r="O657" i="6"/>
  <c r="N656" i="6"/>
  <c r="G272" i="11"/>
  <c r="E272" i="11"/>
  <c r="O542" i="6"/>
  <c r="O577" i="6"/>
  <c r="O578" i="6"/>
  <c r="G70" i="11"/>
  <c r="G73" i="11"/>
  <c r="E109" i="11"/>
  <c r="E110" i="11"/>
  <c r="E206" i="11"/>
  <c r="O274" i="11"/>
  <c r="O273" i="11"/>
  <c r="O110" i="11"/>
  <c r="O109" i="11"/>
  <c r="M247" i="11"/>
  <c r="L110" i="11"/>
  <c r="L109" i="11"/>
  <c r="N370" i="11"/>
  <c r="N373" i="11"/>
  <c r="I328" i="11"/>
  <c r="P369" i="11"/>
  <c r="N501" i="11"/>
  <c r="N708" i="6"/>
  <c r="N709" i="6"/>
  <c r="N389" i="11"/>
  <c r="N392" i="11"/>
  <c r="N465" i="11"/>
  <c r="O234" i="11"/>
  <c r="O237" i="11"/>
  <c r="O113" i="11"/>
  <c r="O42" i="11"/>
  <c r="M326" i="11"/>
  <c r="N110" i="11"/>
  <c r="N109" i="11"/>
  <c r="K109" i="11"/>
  <c r="K110" i="11"/>
  <c r="J337" i="11"/>
  <c r="J335" i="11"/>
  <c r="J336" i="11"/>
  <c r="N577" i="6"/>
  <c r="N578" i="6"/>
  <c r="N542" i="6"/>
  <c r="M275" i="11"/>
  <c r="L272" i="11"/>
  <c r="G274" i="11"/>
  <c r="G273" i="11"/>
  <c r="E277" i="11"/>
  <c r="H273" i="11"/>
  <c r="H274" i="11"/>
  <c r="M337" i="11"/>
  <c r="M335" i="11"/>
  <c r="M336" i="11"/>
  <c r="N42" i="11"/>
  <c r="L108" i="11"/>
  <c r="K108" i="11"/>
  <c r="L237" i="11"/>
  <c r="L234" i="11"/>
  <c r="G108" i="11"/>
  <c r="H272" i="11"/>
  <c r="F327" i="11"/>
  <c r="I327" i="11"/>
  <c r="F328" i="11"/>
  <c r="P67" i="11"/>
  <c r="N247" i="11"/>
  <c r="O277" i="11"/>
  <c r="O70" i="11"/>
  <c r="O73" i="11"/>
  <c r="N73" i="11"/>
  <c r="N70" i="11"/>
  <c r="L113" i="11"/>
  <c r="J326" i="11"/>
  <c r="M327" i="11"/>
  <c r="J278" i="11"/>
  <c r="G110" i="11"/>
  <c r="G109" i="11"/>
  <c r="K272" i="11"/>
  <c r="G206" i="11"/>
  <c r="G209" i="11"/>
  <c r="H209" i="11"/>
  <c r="H206" i="11"/>
  <c r="O108" i="11"/>
  <c r="E113" i="11"/>
  <c r="H277" i="11"/>
  <c r="P396" i="11"/>
  <c r="O206" i="11"/>
  <c r="O209" i="11"/>
  <c r="K70" i="11"/>
  <c r="K73" i="11"/>
  <c r="E70" i="11"/>
  <c r="E73" i="11"/>
  <c r="K209" i="11"/>
  <c r="K206" i="11"/>
  <c r="N436" i="11"/>
  <c r="K113" i="11"/>
  <c r="E108" i="11"/>
  <c r="N441" i="11"/>
  <c r="P441" i="11"/>
  <c r="F247" i="11"/>
  <c r="P36" i="11"/>
  <c r="F172" i="11"/>
  <c r="F173" i="11"/>
  <c r="F171" i="11"/>
  <c r="N113" i="11"/>
  <c r="N108" i="11"/>
  <c r="L73" i="11"/>
  <c r="L70" i="11"/>
  <c r="J328" i="11"/>
  <c r="J247" i="11"/>
  <c r="K277" i="11"/>
  <c r="L277" i="11"/>
  <c r="L209" i="11"/>
  <c r="L206" i="11"/>
  <c r="P671" i="6"/>
  <c r="N636" i="6"/>
  <c r="G277" i="11"/>
  <c r="E237" i="11"/>
  <c r="E234" i="11"/>
  <c r="F162" i="11"/>
  <c r="P531" i="6"/>
  <c r="N393" i="6"/>
  <c r="N534" i="6"/>
  <c r="M516" i="6"/>
  <c r="M114" i="11"/>
  <c r="M170" i="11"/>
  <c r="P401" i="6"/>
  <c r="M111" i="11"/>
  <c r="M172" i="11"/>
  <c r="M171" i="11"/>
  <c r="G406" i="6"/>
  <c r="G402" i="6"/>
  <c r="G422" i="6"/>
  <c r="N127" i="5"/>
  <c r="P39" i="11"/>
  <c r="G169" i="6"/>
  <c r="F402" i="6"/>
  <c r="F421" i="6"/>
  <c r="H186" i="6"/>
  <c r="P43" i="11"/>
  <c r="G185" i="6"/>
  <c r="H406" i="6"/>
  <c r="P68" i="11"/>
  <c r="P40" i="11"/>
  <c r="P44" i="11"/>
  <c r="P72" i="11"/>
  <c r="M300" i="5"/>
  <c r="P35" i="11"/>
  <c r="P29" i="11"/>
  <c r="F184" i="6"/>
  <c r="P153" i="6"/>
  <c r="H185" i="6"/>
  <c r="J188" i="6"/>
  <c r="I171" i="11"/>
  <c r="I172" i="11"/>
  <c r="K165" i="6"/>
  <c r="N203" i="6"/>
  <c r="I187" i="6"/>
  <c r="N171" i="11"/>
  <c r="F168" i="6"/>
  <c r="K189" i="6"/>
  <c r="F165" i="6"/>
  <c r="I203" i="6"/>
  <c r="L165" i="6"/>
  <c r="O203" i="6"/>
  <c r="E501" i="11"/>
  <c r="J501" i="11"/>
  <c r="J491" i="11"/>
  <c r="L374" i="6"/>
  <c r="J500" i="11"/>
  <c r="N360" i="6"/>
  <c r="K337" i="11"/>
  <c r="N376" i="6"/>
  <c r="E474" i="11"/>
  <c r="O377" i="6"/>
  <c r="M359" i="6"/>
  <c r="N628" i="6"/>
  <c r="E500" i="11"/>
  <c r="M375" i="6"/>
  <c r="F543" i="6"/>
  <c r="F562" i="6"/>
  <c r="L491" i="11"/>
  <c r="E442" i="11"/>
  <c r="E497" i="11"/>
  <c r="K439" i="11"/>
  <c r="H499" i="11"/>
  <c r="H500" i="11"/>
  <c r="M515" i="6"/>
  <c r="N516" i="6"/>
  <c r="I501" i="11"/>
  <c r="E472" i="11"/>
  <c r="G474" i="11"/>
  <c r="K472" i="11"/>
  <c r="J474" i="11"/>
  <c r="H624" i="6"/>
  <c r="H625" i="6"/>
  <c r="K474" i="11"/>
  <c r="J402" i="6"/>
  <c r="K422" i="6"/>
  <c r="F473" i="11"/>
  <c r="P199" i="11"/>
  <c r="P145" i="5"/>
  <c r="P230" i="11"/>
  <c r="H473" i="11"/>
  <c r="P259" i="11"/>
  <c r="F472" i="11"/>
  <c r="J439" i="11"/>
  <c r="I165" i="6"/>
  <c r="L203" i="6"/>
  <c r="E173" i="11"/>
  <c r="E335" i="11"/>
  <c r="P204" i="11"/>
  <c r="I499" i="11"/>
  <c r="P231" i="11"/>
  <c r="O210" i="11"/>
  <c r="O214" i="11"/>
  <c r="O253" i="11"/>
  <c r="O219" i="11"/>
  <c r="O254" i="11"/>
  <c r="O220" i="11"/>
  <c r="O224" i="11"/>
  <c r="O255" i="11"/>
  <c r="O229" i="11"/>
  <c r="O256" i="11"/>
  <c r="O714" i="6"/>
  <c r="O238" i="11"/>
  <c r="O242" i="11"/>
  <c r="O257" i="11"/>
  <c r="O258" i="11"/>
  <c r="O262" i="11"/>
  <c r="O263" i="11"/>
  <c r="O264" i="11"/>
  <c r="O265" i="11"/>
  <c r="O245" i="11"/>
  <c r="O266" i="11"/>
  <c r="O267" i="11"/>
  <c r="O275" i="11"/>
  <c r="O278" i="11"/>
  <c r="O280" i="11"/>
  <c r="O281" i="11"/>
  <c r="O282" i="11"/>
  <c r="O283" i="11"/>
  <c r="O284" i="11"/>
  <c r="O286" i="11"/>
  <c r="P193" i="11"/>
  <c r="H490" i="11"/>
  <c r="L472" i="11"/>
  <c r="P202" i="11"/>
  <c r="M472" i="11"/>
  <c r="K402" i="6"/>
  <c r="L422" i="6"/>
  <c r="L474" i="11"/>
  <c r="P143" i="5"/>
  <c r="E473" i="11"/>
  <c r="P200" i="11"/>
  <c r="P203" i="11"/>
  <c r="K542" i="6"/>
  <c r="K543" i="6"/>
  <c r="K562" i="6"/>
  <c r="K577" i="6"/>
  <c r="K578" i="6"/>
  <c r="K473" i="11"/>
  <c r="I474" i="11"/>
  <c r="J473" i="11"/>
  <c r="P243" i="11"/>
  <c r="L439" i="11"/>
  <c r="K637" i="6"/>
  <c r="K656" i="6"/>
  <c r="I439" i="11"/>
  <c r="P197" i="11"/>
  <c r="P198" i="11"/>
  <c r="P232" i="11"/>
  <c r="P154" i="6"/>
  <c r="E705" i="6"/>
  <c r="E706" i="6"/>
  <c r="L501" i="11"/>
  <c r="L499" i="11"/>
  <c r="L500" i="11"/>
  <c r="P371" i="11"/>
  <c r="J411" i="11"/>
  <c r="L624" i="6"/>
  <c r="L473" i="11"/>
  <c r="P57" i="13"/>
  <c r="G672" i="6"/>
  <c r="P672" i="6"/>
  <c r="G472" i="11"/>
  <c r="P372" i="11"/>
  <c r="I484" i="6"/>
  <c r="K411" i="11"/>
  <c r="F490" i="11"/>
  <c r="P246" i="11"/>
  <c r="L402" i="6"/>
  <c r="M402" i="6"/>
  <c r="G442" i="11"/>
  <c r="G439" i="11"/>
  <c r="M411" i="11"/>
  <c r="K491" i="11"/>
  <c r="I232" i="6"/>
  <c r="H484" i="6"/>
  <c r="J232" i="6"/>
  <c r="H411" i="11"/>
  <c r="J437" i="6"/>
  <c r="F650" i="6"/>
  <c r="M624" i="6"/>
  <c r="P587" i="6"/>
  <c r="E712" i="6"/>
  <c r="E713" i="6"/>
  <c r="F637" i="6"/>
  <c r="G657" i="6"/>
  <c r="M165" i="6"/>
  <c r="H442" i="11"/>
  <c r="G484" i="6"/>
  <c r="F578" i="6"/>
  <c r="M473" i="11"/>
  <c r="G411" i="11"/>
  <c r="I473" i="11"/>
  <c r="M311" i="6"/>
  <c r="P790" i="6"/>
  <c r="F411" i="11"/>
  <c r="I300" i="5"/>
  <c r="I128" i="5"/>
  <c r="L492" i="11"/>
  <c r="K492" i="11"/>
  <c r="J165" i="6"/>
  <c r="M203" i="6"/>
  <c r="E490" i="11"/>
  <c r="L442" i="11"/>
  <c r="M501" i="11"/>
  <c r="M500" i="11"/>
  <c r="M499" i="11"/>
  <c r="O705" i="6"/>
  <c r="O706" i="6"/>
  <c r="F439" i="11"/>
  <c r="M474" i="11"/>
  <c r="H492" i="11"/>
  <c r="H491" i="11"/>
  <c r="L437" i="6"/>
  <c r="G501" i="11"/>
  <c r="G500" i="11"/>
  <c r="G499" i="11"/>
  <c r="K490" i="11"/>
  <c r="E714" i="6"/>
  <c r="E238" i="11"/>
  <c r="E628" i="6"/>
  <c r="I311" i="6"/>
  <c r="I411" i="11"/>
  <c r="F442" i="11"/>
  <c r="I624" i="6"/>
  <c r="E439" i="11"/>
  <c r="O718" i="6"/>
  <c r="M637" i="6"/>
  <c r="L637" i="6"/>
  <c r="H578" i="6"/>
  <c r="F546" i="6"/>
  <c r="G547" i="6"/>
  <c r="G625" i="6"/>
  <c r="H474" i="11"/>
  <c r="P243" i="6"/>
  <c r="G232" i="6"/>
  <c r="L411" i="11"/>
  <c r="G490" i="11"/>
  <c r="I472" i="11"/>
  <c r="J492" i="11"/>
  <c r="H311" i="6"/>
  <c r="F624" i="6"/>
  <c r="M439" i="11"/>
  <c r="P400" i="11"/>
  <c r="F415" i="6"/>
  <c r="J472" i="11"/>
  <c r="G656" i="6"/>
  <c r="H657" i="6"/>
  <c r="H472" i="11"/>
  <c r="F311" i="6"/>
  <c r="I402" i="6"/>
  <c r="L578" i="6"/>
  <c r="E702" i="6"/>
  <c r="E703" i="6"/>
  <c r="F509" i="6"/>
  <c r="F491" i="11"/>
  <c r="K442" i="11"/>
  <c r="P410" i="11"/>
  <c r="J624" i="6"/>
  <c r="G491" i="11"/>
  <c r="I491" i="11"/>
  <c r="H437" i="6"/>
  <c r="H232" i="6"/>
  <c r="I442" i="11"/>
  <c r="I490" i="11"/>
  <c r="L232" i="6"/>
  <c r="L311" i="6"/>
  <c r="O501" i="11"/>
  <c r="O500" i="11"/>
  <c r="O499" i="11"/>
  <c r="F484" i="6"/>
  <c r="L490" i="11"/>
  <c r="O439" i="11"/>
  <c r="F492" i="11"/>
  <c r="J490" i="11"/>
  <c r="G437" i="6"/>
  <c r="J578" i="6"/>
  <c r="K624" i="6"/>
  <c r="H402" i="6"/>
  <c r="P32" i="10"/>
  <c r="F317" i="5"/>
  <c r="H439" i="11"/>
  <c r="G473" i="11"/>
  <c r="H165" i="6"/>
  <c r="K203" i="6"/>
  <c r="M442" i="11"/>
  <c r="E718" i="6"/>
  <c r="E719" i="6"/>
  <c r="I578" i="6"/>
  <c r="O411" i="11"/>
  <c r="I437" i="6"/>
  <c r="G492" i="11"/>
  <c r="E708" i="6"/>
  <c r="E709" i="6"/>
  <c r="H641" i="6"/>
  <c r="G640" i="6"/>
  <c r="J442" i="11"/>
  <c r="K501" i="11"/>
  <c r="K500" i="11"/>
  <c r="K499" i="11"/>
  <c r="F474" i="11"/>
  <c r="E411" i="11"/>
  <c r="E492" i="11"/>
  <c r="E491" i="11"/>
  <c r="I492" i="11"/>
  <c r="F501" i="11"/>
  <c r="F500" i="11"/>
  <c r="F499" i="11"/>
  <c r="P399" i="11"/>
  <c r="F128" i="5"/>
  <c r="F300" i="5"/>
  <c r="H651" i="6"/>
  <c r="G526" i="6"/>
  <c r="G353" i="6"/>
  <c r="G337" i="6"/>
  <c r="F352" i="6"/>
  <c r="F572" i="6"/>
  <c r="F431" i="6"/>
  <c r="F438" i="6"/>
  <c r="F478" i="6"/>
  <c r="F336" i="6"/>
  <c r="F178" i="6"/>
  <c r="F194" i="6"/>
  <c r="N421" i="6"/>
  <c r="O183" i="5"/>
  <c r="O186" i="5"/>
  <c r="O543" i="6"/>
  <c r="O562" i="6"/>
  <c r="O107" i="11"/>
  <c r="O97" i="11"/>
  <c r="P97" i="11"/>
  <c r="O200" i="6"/>
  <c r="O216" i="6"/>
  <c r="O217" i="6"/>
  <c r="N200" i="6"/>
  <c r="N216" i="6"/>
  <c r="O201" i="6"/>
  <c r="N543" i="6"/>
  <c r="P56" i="13"/>
  <c r="F779" i="6"/>
  <c r="F764" i="6"/>
  <c r="F757" i="6"/>
  <c r="E770" i="6"/>
  <c r="F771" i="6"/>
  <c r="P775" i="6"/>
  <c r="E758" i="6"/>
  <c r="E30" i="10"/>
  <c r="E777" i="6"/>
  <c r="E778" i="6"/>
  <c r="F772" i="6"/>
  <c r="P768" i="6"/>
  <c r="F758" i="6"/>
  <c r="F765" i="6"/>
  <c r="P761" i="6"/>
  <c r="P754" i="6"/>
  <c r="J543" i="6"/>
  <c r="J562" i="6"/>
  <c r="O382" i="11"/>
  <c r="O459" i="11"/>
  <c r="O380" i="11"/>
  <c r="O457" i="11"/>
  <c r="O381" i="11"/>
  <c r="O458" i="11"/>
  <c r="O383" i="11"/>
  <c r="O418" i="11"/>
  <c r="P636" i="6"/>
  <c r="M276" i="5"/>
  <c r="I111" i="11"/>
  <c r="I116" i="11"/>
  <c r="L128" i="5"/>
  <c r="H128" i="5"/>
  <c r="N128" i="5"/>
  <c r="P316" i="5"/>
  <c r="E17" i="10"/>
  <c r="O220" i="5"/>
  <c r="P220" i="5"/>
  <c r="F747" i="6"/>
  <c r="F27" i="10"/>
  <c r="L516" i="6"/>
  <c r="E27" i="10"/>
  <c r="E28" i="10"/>
  <c r="E748" i="6"/>
  <c r="K359" i="6"/>
  <c r="L376" i="6"/>
  <c r="L360" i="6"/>
  <c r="N378" i="6"/>
  <c r="K375" i="6"/>
  <c r="O379" i="6"/>
  <c r="J374" i="6"/>
  <c r="M377" i="6"/>
  <c r="K657" i="6"/>
  <c r="E127" i="5"/>
  <c r="E21" i="10"/>
  <c r="P126" i="5"/>
  <c r="P261" i="11"/>
  <c r="J376" i="6"/>
  <c r="K361" i="6"/>
  <c r="H217" i="6"/>
  <c r="J203" i="6"/>
  <c r="P203" i="6"/>
  <c r="K374" i="6"/>
  <c r="N361" i="6"/>
  <c r="K378" i="6"/>
  <c r="J361" i="6"/>
  <c r="J359" i="6"/>
  <c r="L361" i="6"/>
  <c r="I361" i="6"/>
  <c r="N383" i="11"/>
  <c r="N418" i="11"/>
  <c r="N382" i="11"/>
  <c r="N459" i="11"/>
  <c r="I656" i="6"/>
  <c r="H656" i="6"/>
  <c r="J516" i="6"/>
  <c r="I516" i="6"/>
  <c r="H516" i="6"/>
  <c r="G516" i="6"/>
  <c r="I547" i="6"/>
  <c r="P163" i="6"/>
  <c r="E380" i="11"/>
  <c r="E457" i="11"/>
  <c r="N384" i="11"/>
  <c r="N385" i="11"/>
  <c r="N460" i="11"/>
  <c r="O218" i="11"/>
  <c r="O295" i="11"/>
  <c r="E382" i="11"/>
  <c r="E459" i="11"/>
  <c r="E381" i="11"/>
  <c r="E458" i="11"/>
  <c r="E383" i="11"/>
  <c r="E418" i="11"/>
  <c r="E218" i="11"/>
  <c r="E295" i="11"/>
  <c r="E220" i="11"/>
  <c r="E223" i="11"/>
  <c r="E298" i="11"/>
  <c r="E217" i="11"/>
  <c r="E294" i="11"/>
  <c r="O377" i="11"/>
  <c r="O456" i="11"/>
  <c r="O384" i="11"/>
  <c r="O216" i="11"/>
  <c r="O293" i="11"/>
  <c r="E377" i="11"/>
  <c r="E456" i="11"/>
  <c r="E384" i="11"/>
  <c r="N380" i="11"/>
  <c r="N457" i="11"/>
  <c r="N213" i="11"/>
  <c r="N292" i="11"/>
  <c r="E216" i="11"/>
  <c r="E293" i="11"/>
  <c r="N377" i="11"/>
  <c r="N456" i="11"/>
  <c r="N376" i="11"/>
  <c r="N455" i="11"/>
  <c r="N698" i="6"/>
  <c r="N699" i="6"/>
  <c r="O378" i="11"/>
  <c r="O417" i="11"/>
  <c r="O376" i="11"/>
  <c r="O455" i="11"/>
  <c r="P390" i="6"/>
  <c r="O375" i="11"/>
  <c r="O454" i="11"/>
  <c r="O698" i="6"/>
  <c r="O699" i="6"/>
  <c r="H375" i="6"/>
  <c r="P43" i="13"/>
  <c r="N211" i="11"/>
  <c r="N290" i="11"/>
  <c r="N212" i="11"/>
  <c r="N291" i="11"/>
  <c r="E690" i="6"/>
  <c r="E691" i="6"/>
  <c r="E51" i="11"/>
  <c r="M379" i="6"/>
  <c r="K377" i="6"/>
  <c r="I359" i="6"/>
  <c r="J360" i="6"/>
  <c r="I375" i="6"/>
  <c r="H358" i="6"/>
  <c r="L378" i="6"/>
  <c r="H374" i="6"/>
  <c r="I358" i="6"/>
  <c r="K360" i="6"/>
  <c r="K376" i="6"/>
  <c r="M378" i="6"/>
  <c r="L377" i="6"/>
  <c r="E698" i="6"/>
  <c r="E699" i="6"/>
  <c r="I374" i="6"/>
  <c r="J375" i="6"/>
  <c r="N379" i="6"/>
  <c r="I376" i="6"/>
  <c r="I360" i="6"/>
  <c r="G374" i="6"/>
  <c r="L379" i="6"/>
  <c r="H359" i="6"/>
  <c r="J377" i="6"/>
  <c r="G358" i="6"/>
  <c r="E378" i="11"/>
  <c r="E417" i="11"/>
  <c r="I202" i="6"/>
  <c r="E375" i="11"/>
  <c r="E454" i="11"/>
  <c r="E694" i="6"/>
  <c r="E695" i="6"/>
  <c r="E376" i="11"/>
  <c r="E455" i="11"/>
  <c r="O694" i="6"/>
  <c r="O695" i="6"/>
  <c r="I218" i="6"/>
  <c r="L221" i="6"/>
  <c r="K220" i="6"/>
  <c r="G200" i="6"/>
  <c r="H201" i="6"/>
  <c r="J219" i="6"/>
  <c r="G216" i="6"/>
  <c r="N218" i="6"/>
  <c r="F216" i="6"/>
  <c r="N221" i="6"/>
  <c r="N219" i="6"/>
  <c r="P42" i="13"/>
  <c r="O427" i="11"/>
  <c r="M490" i="11"/>
  <c r="M491" i="11"/>
  <c r="N409" i="11"/>
  <c r="P409" i="11"/>
  <c r="H245" i="11"/>
  <c r="K245" i="11"/>
  <c r="G245" i="11"/>
  <c r="L262" i="11"/>
  <c r="L245" i="11"/>
  <c r="G262" i="11"/>
  <c r="E81" i="11"/>
  <c r="K262" i="11"/>
  <c r="H262" i="11"/>
  <c r="E98" i="11"/>
  <c r="N426" i="11"/>
  <c r="F374" i="6"/>
  <c r="N228" i="11"/>
  <c r="N301" i="11"/>
  <c r="J173" i="11"/>
  <c r="J171" i="11"/>
  <c r="O708" i="6"/>
  <c r="O709" i="6"/>
  <c r="I500" i="6"/>
  <c r="G499" i="6"/>
  <c r="P494" i="6"/>
  <c r="J111" i="11"/>
  <c r="J114" i="11"/>
  <c r="J170" i="11"/>
  <c r="H500" i="6"/>
  <c r="M374" i="6"/>
  <c r="H327" i="6"/>
  <c r="G342" i="6"/>
  <c r="J378" i="6"/>
  <c r="M358" i="6"/>
  <c r="J345" i="6"/>
  <c r="N375" i="6"/>
  <c r="O376" i="6"/>
  <c r="O360" i="6"/>
  <c r="P323" i="6"/>
  <c r="I328" i="6"/>
  <c r="P277" i="11"/>
  <c r="P331" i="11"/>
  <c r="P144" i="11"/>
  <c r="P744" i="6"/>
  <c r="P578" i="6"/>
  <c r="P310" i="11"/>
  <c r="P274" i="11"/>
  <c r="P484" i="6"/>
  <c r="G326" i="6"/>
  <c r="I342" i="6"/>
  <c r="H343" i="6"/>
  <c r="G359" i="6"/>
  <c r="P309" i="11"/>
  <c r="H376" i="6"/>
  <c r="P232" i="6"/>
  <c r="H360" i="6"/>
  <c r="I377" i="6"/>
  <c r="F358" i="6"/>
  <c r="P146" i="11"/>
  <c r="P308" i="11"/>
  <c r="K346" i="6"/>
  <c r="I344" i="6"/>
  <c r="G375" i="6"/>
  <c r="P145" i="11"/>
  <c r="P311" i="6"/>
  <c r="P449" i="6"/>
  <c r="P437" i="6"/>
  <c r="P496" i="6"/>
  <c r="P330" i="11"/>
  <c r="P329" i="11"/>
  <c r="K516" i="6"/>
  <c r="K358" i="6"/>
  <c r="O378" i="6"/>
  <c r="N377" i="6"/>
  <c r="L359" i="6"/>
  <c r="L375" i="6"/>
  <c r="M376" i="6"/>
  <c r="M360" i="6"/>
  <c r="G128" i="5"/>
  <c r="P736" i="6"/>
  <c r="G300" i="5"/>
  <c r="L172" i="11"/>
  <c r="M280" i="11"/>
  <c r="M334" i="11"/>
  <c r="L173" i="11"/>
  <c r="P443" i="11"/>
  <c r="P398" i="11"/>
  <c r="H547" i="6"/>
  <c r="P82" i="11"/>
  <c r="H546" i="6"/>
  <c r="P113" i="11"/>
  <c r="G327" i="11"/>
  <c r="G546" i="6"/>
  <c r="G543" i="6"/>
  <c r="G562" i="6"/>
  <c r="O111" i="11"/>
  <c r="M332" i="11"/>
  <c r="L275" i="11"/>
  <c r="L300" i="5"/>
  <c r="H275" i="11"/>
  <c r="F333" i="11"/>
  <c r="I333" i="11"/>
  <c r="F280" i="11"/>
  <c r="I334" i="11"/>
  <c r="L335" i="11"/>
  <c r="H168" i="11"/>
  <c r="H170" i="11"/>
  <c r="I280" i="11"/>
  <c r="P401" i="11"/>
  <c r="H327" i="11"/>
  <c r="P109" i="11"/>
  <c r="N439" i="11"/>
  <c r="P439" i="11"/>
  <c r="P108" i="11"/>
  <c r="L326" i="11"/>
  <c r="H300" i="5"/>
  <c r="G335" i="11"/>
  <c r="L111" i="11"/>
  <c r="F334" i="11"/>
  <c r="P370" i="11"/>
  <c r="N334" i="11"/>
  <c r="P542" i="6"/>
  <c r="G336" i="11"/>
  <c r="N375" i="11"/>
  <c r="N454" i="11"/>
  <c r="N675" i="6"/>
  <c r="L114" i="11"/>
  <c r="N492" i="11"/>
  <c r="H169" i="11"/>
  <c r="L336" i="11"/>
  <c r="H116" i="11"/>
  <c r="N333" i="11"/>
  <c r="P589" i="6"/>
  <c r="L278" i="11"/>
  <c r="L332" i="11"/>
  <c r="N411" i="11"/>
  <c r="P411" i="11"/>
  <c r="N491" i="11"/>
  <c r="N442" i="11"/>
  <c r="N497" i="11"/>
  <c r="K173" i="11"/>
  <c r="K172" i="11"/>
  <c r="N490" i="11"/>
  <c r="P373" i="11"/>
  <c r="N378" i="11"/>
  <c r="N417" i="11"/>
  <c r="G172" i="11"/>
  <c r="G171" i="11"/>
  <c r="G173" i="11"/>
  <c r="G111" i="11"/>
  <c r="F168" i="11"/>
  <c r="F169" i="11"/>
  <c r="F170" i="11"/>
  <c r="N500" i="11"/>
  <c r="P500" i="11"/>
  <c r="G328" i="11"/>
  <c r="G247" i="11"/>
  <c r="H247" i="11"/>
  <c r="H328" i="11"/>
  <c r="P577" i="6"/>
  <c r="G278" i="11"/>
  <c r="K111" i="11"/>
  <c r="H326" i="11"/>
  <c r="P436" i="11"/>
  <c r="H278" i="11"/>
  <c r="O114" i="11"/>
  <c r="O168" i="11"/>
  <c r="J280" i="11"/>
  <c r="L247" i="11"/>
  <c r="G275" i="11"/>
  <c r="L327" i="11"/>
  <c r="H335" i="11"/>
  <c r="H337" i="11"/>
  <c r="H336" i="11"/>
  <c r="N717" i="6"/>
  <c r="G114" i="11"/>
  <c r="O172" i="11"/>
  <c r="O171" i="11"/>
  <c r="O173" i="11"/>
  <c r="N499" i="11"/>
  <c r="P499" i="11"/>
  <c r="P745" i="6"/>
  <c r="L328" i="11"/>
  <c r="O628" i="6"/>
  <c r="G326" i="11"/>
  <c r="J333" i="11"/>
  <c r="J334" i="11"/>
  <c r="J332" i="11"/>
  <c r="K114" i="11"/>
  <c r="P110" i="11"/>
  <c r="F116" i="11"/>
  <c r="N393" i="11"/>
  <c r="N391" i="11"/>
  <c r="N464" i="11"/>
  <c r="N390" i="11"/>
  <c r="N463" i="11"/>
  <c r="M116" i="11"/>
  <c r="P71" i="11"/>
  <c r="M168" i="11"/>
  <c r="M169" i="11"/>
  <c r="H422" i="6"/>
  <c r="G421" i="6"/>
  <c r="L200" i="6"/>
  <c r="N300" i="5"/>
  <c r="G563" i="6"/>
  <c r="G405" i="6"/>
  <c r="I170" i="6"/>
  <c r="P400" i="6"/>
  <c r="N111" i="11"/>
  <c r="E498" i="11"/>
  <c r="J128" i="5"/>
  <c r="N173" i="11"/>
  <c r="O219" i="6"/>
  <c r="G184" i="6"/>
  <c r="G217" i="6"/>
  <c r="G168" i="6"/>
  <c r="L189" i="6"/>
  <c r="J187" i="6"/>
  <c r="K200" i="6"/>
  <c r="K188" i="6"/>
  <c r="N114" i="11"/>
  <c r="N170" i="11"/>
  <c r="K300" i="5"/>
  <c r="P42" i="11"/>
  <c r="I219" i="6"/>
  <c r="H202" i="6"/>
  <c r="H218" i="6"/>
  <c r="J220" i="6"/>
  <c r="N202" i="6"/>
  <c r="P70" i="11"/>
  <c r="K128" i="5"/>
  <c r="I186" i="6"/>
  <c r="H169" i="6"/>
  <c r="M217" i="6"/>
  <c r="F200" i="6"/>
  <c r="K221" i="6"/>
  <c r="P73" i="11"/>
  <c r="M201" i="6"/>
  <c r="N172" i="11"/>
  <c r="J300" i="5"/>
  <c r="M218" i="6"/>
  <c r="M202" i="6"/>
  <c r="G201" i="6"/>
  <c r="K216" i="6"/>
  <c r="P115" i="11"/>
  <c r="O220" i="6"/>
  <c r="L201" i="6"/>
  <c r="L217" i="6"/>
  <c r="I444" i="11"/>
  <c r="K218" i="6"/>
  <c r="L216" i="6"/>
  <c r="N715" i="6"/>
  <c r="N716" i="6"/>
  <c r="J421" i="6"/>
  <c r="E496" i="11"/>
  <c r="K335" i="11"/>
  <c r="I562" i="6"/>
  <c r="K336" i="11"/>
  <c r="E336" i="11"/>
  <c r="E337" i="11"/>
  <c r="L444" i="11"/>
  <c r="E444" i="11"/>
  <c r="G444" i="11"/>
  <c r="J444" i="11"/>
  <c r="F656" i="6"/>
  <c r="E171" i="11"/>
  <c r="K421" i="6"/>
  <c r="P273" i="11"/>
  <c r="K278" i="11"/>
  <c r="K332" i="11"/>
  <c r="E172" i="11"/>
  <c r="K326" i="11"/>
  <c r="O247" i="11"/>
  <c r="K202" i="6"/>
  <c r="P235" i="11"/>
  <c r="P208" i="11"/>
  <c r="L657" i="6"/>
  <c r="M220" i="6"/>
  <c r="J201" i="6"/>
  <c r="L543" i="6"/>
  <c r="K275" i="11"/>
  <c r="P635" i="6"/>
  <c r="L219" i="6"/>
  <c r="L563" i="6"/>
  <c r="E163" i="11"/>
  <c r="P236" i="11"/>
  <c r="P237" i="11"/>
  <c r="P156" i="6"/>
  <c r="O127" i="5"/>
  <c r="P746" i="6"/>
  <c r="M444" i="11"/>
  <c r="I200" i="6"/>
  <c r="P206" i="11"/>
  <c r="O337" i="11"/>
  <c r="O336" i="11"/>
  <c r="O335" i="11"/>
  <c r="P279" i="11"/>
  <c r="J217" i="6"/>
  <c r="P272" i="11"/>
  <c r="P207" i="11"/>
  <c r="K328" i="11"/>
  <c r="K247" i="11"/>
  <c r="K327" i="11"/>
  <c r="I168" i="11"/>
  <c r="I170" i="11"/>
  <c r="I169" i="11"/>
  <c r="I216" i="6"/>
  <c r="H444" i="11"/>
  <c r="P472" i="11"/>
  <c r="P234" i="11"/>
  <c r="E710" i="6"/>
  <c r="F625" i="6"/>
  <c r="E212" i="11"/>
  <c r="E291" i="11"/>
  <c r="E213" i="11"/>
  <c r="E292" i="11"/>
  <c r="E211" i="11"/>
  <c r="E290" i="11"/>
  <c r="I498" i="11"/>
  <c r="I496" i="11"/>
  <c r="I497" i="11"/>
  <c r="J625" i="6"/>
  <c r="M216" i="6"/>
  <c r="O202" i="6"/>
  <c r="O218" i="6"/>
  <c r="M200" i="6"/>
  <c r="N217" i="6"/>
  <c r="N201" i="6"/>
  <c r="P165" i="6"/>
  <c r="G498" i="11"/>
  <c r="G497" i="11"/>
  <c r="G496" i="11"/>
  <c r="F273" i="6"/>
  <c r="J498" i="11"/>
  <c r="J497" i="11"/>
  <c r="J496" i="11"/>
  <c r="M498" i="11"/>
  <c r="M497" i="11"/>
  <c r="M496" i="11"/>
  <c r="P435" i="11"/>
  <c r="O490" i="11"/>
  <c r="O491" i="11"/>
  <c r="O492" i="11"/>
  <c r="F498" i="11"/>
  <c r="F497" i="11"/>
  <c r="F496" i="11"/>
  <c r="P473" i="11"/>
  <c r="H498" i="11"/>
  <c r="H497" i="11"/>
  <c r="H496" i="11"/>
  <c r="N422" i="6"/>
  <c r="M421" i="6"/>
  <c r="P402" i="6"/>
  <c r="F257" i="6"/>
  <c r="L625" i="6"/>
  <c r="I625" i="6"/>
  <c r="E75" i="11"/>
  <c r="E138" i="11"/>
  <c r="E77" i="11"/>
  <c r="E76" i="11"/>
  <c r="E78" i="11"/>
  <c r="E93" i="11"/>
  <c r="O719" i="6"/>
  <c r="P474" i="11"/>
  <c r="E83" i="11"/>
  <c r="M422" i="6"/>
  <c r="L421" i="6"/>
  <c r="E228" i="11"/>
  <c r="E301" i="11"/>
  <c r="E227" i="11"/>
  <c r="E300" i="11"/>
  <c r="E226" i="11"/>
  <c r="E299" i="11"/>
  <c r="H421" i="6"/>
  <c r="I422" i="6"/>
  <c r="K498" i="11"/>
  <c r="K497" i="11"/>
  <c r="K496" i="11"/>
  <c r="K444" i="11"/>
  <c r="E275" i="11"/>
  <c r="F556" i="6"/>
  <c r="M657" i="6"/>
  <c r="L656" i="6"/>
  <c r="O405" i="11"/>
  <c r="O403" i="11"/>
  <c r="O404" i="11"/>
  <c r="O406" i="11"/>
  <c r="F444" i="11"/>
  <c r="E278" i="11"/>
  <c r="E162" i="11"/>
  <c r="O228" i="11"/>
  <c r="O301" i="11"/>
  <c r="O227" i="11"/>
  <c r="O300" i="11"/>
  <c r="O226" i="11"/>
  <c r="O299" i="11"/>
  <c r="L498" i="11"/>
  <c r="L496" i="11"/>
  <c r="L497" i="11"/>
  <c r="P515" i="6"/>
  <c r="F525" i="6"/>
  <c r="F532" i="6"/>
  <c r="P317" i="5"/>
  <c r="E111" i="11"/>
  <c r="F462" i="6"/>
  <c r="I201" i="6"/>
  <c r="J202" i="6"/>
  <c r="J218" i="6"/>
  <c r="H200" i="6"/>
  <c r="K219" i="6"/>
  <c r="M221" i="6"/>
  <c r="L220" i="6"/>
  <c r="I217" i="6"/>
  <c r="H216" i="6"/>
  <c r="E64" i="11"/>
  <c r="E137" i="11"/>
  <c r="E63" i="11"/>
  <c r="E136" i="11"/>
  <c r="E62" i="11"/>
  <c r="E135" i="11"/>
  <c r="E65" i="11"/>
  <c r="E92" i="11"/>
  <c r="J422" i="6"/>
  <c r="I421" i="6"/>
  <c r="O442" i="11"/>
  <c r="O444" i="11"/>
  <c r="I563" i="6"/>
  <c r="H562" i="6"/>
  <c r="M625" i="6"/>
  <c r="P624" i="6"/>
  <c r="I641" i="6"/>
  <c r="H640" i="6"/>
  <c r="E48" i="11"/>
  <c r="E127" i="11"/>
  <c r="E49" i="11"/>
  <c r="E128" i="11"/>
  <c r="E47" i="11"/>
  <c r="E126" i="11"/>
  <c r="E50" i="11"/>
  <c r="E89" i="11"/>
  <c r="M562" i="6"/>
  <c r="N563" i="6"/>
  <c r="M656" i="6"/>
  <c r="N657" i="6"/>
  <c r="P637" i="6"/>
  <c r="N220" i="6"/>
  <c r="K217" i="6"/>
  <c r="J216" i="6"/>
  <c r="K201" i="6"/>
  <c r="L202" i="6"/>
  <c r="M219" i="6"/>
  <c r="J200" i="6"/>
  <c r="O221" i="6"/>
  <c r="L218" i="6"/>
  <c r="E114" i="11"/>
  <c r="P271" i="11"/>
  <c r="O327" i="11"/>
  <c r="O328" i="11"/>
  <c r="O326" i="11"/>
  <c r="I640" i="6"/>
  <c r="J641" i="6"/>
  <c r="K625" i="6"/>
  <c r="P244" i="6"/>
  <c r="E164" i="11"/>
  <c r="O392" i="11"/>
  <c r="O465" i="11"/>
  <c r="O391" i="11"/>
  <c r="O464" i="11"/>
  <c r="O390" i="11"/>
  <c r="O463" i="11"/>
  <c r="O393" i="11"/>
  <c r="O420" i="11"/>
  <c r="E393" i="11"/>
  <c r="E420" i="11"/>
  <c r="E390" i="11"/>
  <c r="E463" i="11"/>
  <c r="E392" i="11"/>
  <c r="E465" i="11"/>
  <c r="E391" i="11"/>
  <c r="E464" i="11"/>
  <c r="E406" i="11"/>
  <c r="E403" i="11"/>
  <c r="E405" i="11"/>
  <c r="E404" i="11"/>
  <c r="P501" i="11"/>
  <c r="N241" i="11"/>
  <c r="N240" i="11"/>
  <c r="N239" i="11"/>
  <c r="E715" i="6"/>
  <c r="E716" i="6"/>
  <c r="E720" i="6"/>
  <c r="M651" i="6"/>
  <c r="H510" i="6"/>
  <c r="H337" i="6"/>
  <c r="K651" i="6"/>
  <c r="O651" i="6"/>
  <c r="I510" i="6"/>
  <c r="I651" i="6"/>
  <c r="H353" i="6"/>
  <c r="J651" i="6"/>
  <c r="N651" i="6"/>
  <c r="L651" i="6"/>
  <c r="O667" i="6"/>
  <c r="H667" i="6"/>
  <c r="G667" i="6"/>
  <c r="K667" i="6"/>
  <c r="I667" i="6"/>
  <c r="L667" i="6"/>
  <c r="M667" i="6"/>
  <c r="N667" i="6"/>
  <c r="J667" i="6"/>
  <c r="L526" i="6"/>
  <c r="M526" i="6"/>
  <c r="I526" i="6"/>
  <c r="K526" i="6"/>
  <c r="H526" i="6"/>
  <c r="O526" i="6"/>
  <c r="N526" i="6"/>
  <c r="J526" i="6"/>
  <c r="O432" i="6"/>
  <c r="L385" i="6"/>
  <c r="G385" i="6"/>
  <c r="I385" i="6"/>
  <c r="K385" i="6"/>
  <c r="O385" i="6"/>
  <c r="N385" i="6"/>
  <c r="M385" i="6"/>
  <c r="J385" i="6"/>
  <c r="H385" i="6"/>
  <c r="G369" i="6"/>
  <c r="K369" i="6"/>
  <c r="L369" i="6"/>
  <c r="I369" i="6"/>
  <c r="O369" i="6"/>
  <c r="J369" i="6"/>
  <c r="H369" i="6"/>
  <c r="N369" i="6"/>
  <c r="M369" i="6"/>
  <c r="F384" i="6"/>
  <c r="F368" i="6"/>
  <c r="O227" i="6"/>
  <c r="O211" i="6"/>
  <c r="F666" i="6"/>
  <c r="F673" i="6"/>
  <c r="F619" i="6"/>
  <c r="F226" i="6"/>
  <c r="F210" i="6"/>
  <c r="P107" i="11"/>
  <c r="M782" i="6"/>
  <c r="M293" i="5"/>
  <c r="N562" i="6"/>
  <c r="O563" i="6"/>
  <c r="F30" i="10"/>
  <c r="E19" i="10"/>
  <c r="F19" i="10"/>
  <c r="E782" i="6"/>
  <c r="E293" i="5"/>
  <c r="F778" i="6"/>
  <c r="P779" i="6"/>
  <c r="P770" i="6"/>
  <c r="E771" i="6"/>
  <c r="F773" i="6"/>
  <c r="L782" i="6"/>
  <c r="L293" i="5"/>
  <c r="K782" i="6"/>
  <c r="K293" i="5"/>
  <c r="N782" i="6"/>
  <c r="N293" i="5"/>
  <c r="G782" i="6"/>
  <c r="G293" i="5"/>
  <c r="O782" i="6"/>
  <c r="O293" i="5"/>
  <c r="F782" i="6"/>
  <c r="F293" i="5"/>
  <c r="H782" i="6"/>
  <c r="H293" i="5"/>
  <c r="I782" i="6"/>
  <c r="I293" i="5"/>
  <c r="E31" i="10"/>
  <c r="P777" i="6"/>
  <c r="P776" i="6"/>
  <c r="P772" i="6"/>
  <c r="P763" i="6"/>
  <c r="P765" i="6"/>
  <c r="F766" i="6"/>
  <c r="K563" i="6"/>
  <c r="N277" i="5"/>
  <c r="F759" i="6"/>
  <c r="F26" i="10"/>
  <c r="F28" i="10"/>
  <c r="E128" i="5"/>
  <c r="P17" i="10"/>
  <c r="P127" i="5"/>
  <c r="F748" i="6"/>
  <c r="E276" i="5"/>
  <c r="E18" i="10"/>
  <c r="E300" i="5"/>
  <c r="P21" i="10"/>
  <c r="P361" i="6"/>
  <c r="P541" i="6"/>
  <c r="P756" i="6"/>
  <c r="E467" i="11"/>
  <c r="E470" i="11"/>
  <c r="O467" i="11"/>
  <c r="O470" i="11"/>
  <c r="O466" i="11"/>
  <c r="O469" i="11"/>
  <c r="E468" i="11"/>
  <c r="E471" i="11"/>
  <c r="E466" i="11"/>
  <c r="E469" i="11"/>
  <c r="O468" i="11"/>
  <c r="O471" i="11"/>
  <c r="E421" i="11"/>
  <c r="E422" i="11"/>
  <c r="O421" i="11"/>
  <c r="O422" i="11"/>
  <c r="N304" i="11"/>
  <c r="N307" i="11"/>
  <c r="N303" i="11"/>
  <c r="N306" i="11"/>
  <c r="N302" i="11"/>
  <c r="N305" i="11"/>
  <c r="E141" i="11"/>
  <c r="E139" i="11"/>
  <c r="E142" i="11"/>
  <c r="E140" i="11"/>
  <c r="E143" i="11"/>
  <c r="E94" i="11"/>
  <c r="N387" i="11"/>
  <c r="N462" i="11"/>
  <c r="N388" i="11"/>
  <c r="N419" i="11"/>
  <c r="N386" i="11"/>
  <c r="N461" i="11"/>
  <c r="O388" i="11"/>
  <c r="O419" i="11"/>
  <c r="E388" i="11"/>
  <c r="E419" i="11"/>
  <c r="E427" i="11"/>
  <c r="E475" i="11"/>
  <c r="E222" i="11"/>
  <c r="E297" i="11"/>
  <c r="E221" i="11"/>
  <c r="E296" i="11"/>
  <c r="E385" i="11"/>
  <c r="E460" i="11"/>
  <c r="E386" i="11"/>
  <c r="E461" i="11"/>
  <c r="E387" i="11"/>
  <c r="E462" i="11"/>
  <c r="P384" i="11"/>
  <c r="O386" i="11"/>
  <c r="O461" i="11"/>
  <c r="O387" i="11"/>
  <c r="O462" i="11"/>
  <c r="O385" i="11"/>
  <c r="O460" i="11"/>
  <c r="N222" i="11"/>
  <c r="N297" i="11"/>
  <c r="N223" i="11"/>
  <c r="N298" i="11"/>
  <c r="N221" i="11"/>
  <c r="N296" i="11"/>
  <c r="E55" i="11"/>
  <c r="E90" i="11"/>
  <c r="E53" i="11"/>
  <c r="E130" i="11"/>
  <c r="E54" i="11"/>
  <c r="E131" i="11"/>
  <c r="E56" i="11"/>
  <c r="E52" i="11"/>
  <c r="E129" i="11"/>
  <c r="P379" i="6"/>
  <c r="O211" i="11"/>
  <c r="O290" i="11"/>
  <c r="O212" i="11"/>
  <c r="O291" i="11"/>
  <c r="O213" i="11"/>
  <c r="O292" i="11"/>
  <c r="E700" i="6"/>
  <c r="P426" i="11"/>
  <c r="E116" i="11"/>
  <c r="P374" i="6"/>
  <c r="J344" i="6"/>
  <c r="N226" i="11"/>
  <c r="N299" i="11"/>
  <c r="N227" i="11"/>
  <c r="N300" i="11"/>
  <c r="I277" i="5"/>
  <c r="J277" i="5"/>
  <c r="J169" i="11"/>
  <c r="J116" i="11"/>
  <c r="J168" i="11"/>
  <c r="I499" i="6"/>
  <c r="J500" i="6"/>
  <c r="P500" i="6"/>
  <c r="P358" i="6"/>
  <c r="H326" i="6"/>
  <c r="J328" i="6"/>
  <c r="P378" i="6"/>
  <c r="J343" i="6"/>
  <c r="I327" i="6"/>
  <c r="M346" i="6"/>
  <c r="P377" i="6"/>
  <c r="L346" i="6"/>
  <c r="J327" i="6"/>
  <c r="P321" i="6"/>
  <c r="I326" i="6"/>
  <c r="K328" i="6"/>
  <c r="H342" i="6"/>
  <c r="M347" i="6"/>
  <c r="L345" i="6"/>
  <c r="I343" i="6"/>
  <c r="K344" i="6"/>
  <c r="N347" i="6"/>
  <c r="K345" i="6"/>
  <c r="P543" i="6"/>
  <c r="P376" i="6"/>
  <c r="P335" i="11"/>
  <c r="P336" i="11"/>
  <c r="P275" i="11"/>
  <c r="P625" i="6"/>
  <c r="P171" i="11"/>
  <c r="P337" i="11"/>
  <c r="P516" i="6"/>
  <c r="P375" i="6"/>
  <c r="P359" i="6"/>
  <c r="P360" i="6"/>
  <c r="H563" i="6"/>
  <c r="P492" i="11"/>
  <c r="O170" i="11"/>
  <c r="H276" i="5"/>
  <c r="I546" i="6"/>
  <c r="J547" i="6"/>
  <c r="P491" i="11"/>
  <c r="H280" i="11"/>
  <c r="L334" i="11"/>
  <c r="O116" i="11"/>
  <c r="P111" i="11"/>
  <c r="P440" i="11"/>
  <c r="N496" i="11"/>
  <c r="N498" i="11"/>
  <c r="O169" i="11"/>
  <c r="G116" i="11"/>
  <c r="H277" i="5"/>
  <c r="G280" i="11"/>
  <c r="L116" i="11"/>
  <c r="L170" i="11"/>
  <c r="L168" i="11"/>
  <c r="L169" i="11"/>
  <c r="P490" i="11"/>
  <c r="P173" i="11"/>
  <c r="L333" i="11"/>
  <c r="E99" i="11"/>
  <c r="L280" i="11"/>
  <c r="K116" i="11"/>
  <c r="N444" i="11"/>
  <c r="P444" i="11"/>
  <c r="O715" i="6"/>
  <c r="O716" i="6"/>
  <c r="G170" i="11"/>
  <c r="G168" i="11"/>
  <c r="G169" i="11"/>
  <c r="P172" i="11"/>
  <c r="G332" i="11"/>
  <c r="G334" i="11"/>
  <c r="G333" i="11"/>
  <c r="N402" i="11"/>
  <c r="N718" i="6"/>
  <c r="N719" i="6"/>
  <c r="N420" i="11"/>
  <c r="K168" i="11"/>
  <c r="K170" i="11"/>
  <c r="K169" i="11"/>
  <c r="H333" i="11"/>
  <c r="H334" i="11"/>
  <c r="H332" i="11"/>
  <c r="N116" i="11"/>
  <c r="N189" i="6"/>
  <c r="J276" i="5"/>
  <c r="I276" i="5"/>
  <c r="P114" i="11"/>
  <c r="N168" i="11"/>
  <c r="N169" i="11"/>
  <c r="M189" i="6"/>
  <c r="K170" i="6"/>
  <c r="P112" i="11"/>
  <c r="H168" i="6"/>
  <c r="J169" i="6"/>
  <c r="J170" i="6"/>
  <c r="H405" i="6"/>
  <c r="K186" i="6"/>
  <c r="H184" i="6"/>
  <c r="I406" i="6"/>
  <c r="J185" i="6"/>
  <c r="J186" i="6"/>
  <c r="I184" i="6"/>
  <c r="I168" i="6"/>
  <c r="I185" i="6"/>
  <c r="L187" i="6"/>
  <c r="L188" i="6"/>
  <c r="K187" i="6"/>
  <c r="I169" i="6"/>
  <c r="M188" i="6"/>
  <c r="P657" i="6"/>
  <c r="K280" i="11"/>
  <c r="K333" i="11"/>
  <c r="P217" i="6"/>
  <c r="K334" i="11"/>
  <c r="P219" i="6"/>
  <c r="P218" i="6"/>
  <c r="K276" i="5"/>
  <c r="P276" i="11"/>
  <c r="P747" i="6"/>
  <c r="L276" i="5"/>
  <c r="M563" i="6"/>
  <c r="L562" i="6"/>
  <c r="P202" i="6"/>
  <c r="P422" i="6"/>
  <c r="P641" i="6"/>
  <c r="P220" i="6"/>
  <c r="O300" i="5"/>
  <c r="O128" i="5"/>
  <c r="E334" i="11"/>
  <c r="E332" i="11"/>
  <c r="E333" i="11"/>
  <c r="P242" i="6"/>
  <c r="E31" i="13"/>
  <c r="E185" i="5"/>
  <c r="P640" i="6"/>
  <c r="P447" i="6"/>
  <c r="P525" i="6"/>
  <c r="P201" i="6"/>
  <c r="E241" i="11"/>
  <c r="E239" i="11"/>
  <c r="E240" i="11"/>
  <c r="E242" i="11"/>
  <c r="J406" i="6"/>
  <c r="I405" i="6"/>
  <c r="F485" i="6"/>
  <c r="F681" i="6"/>
  <c r="P590" i="6"/>
  <c r="E32" i="13"/>
  <c r="E208" i="5"/>
  <c r="F579" i="6"/>
  <c r="F603" i="6"/>
  <c r="F289" i="6"/>
  <c r="F305" i="6"/>
  <c r="E170" i="11"/>
  <c r="E169" i="11"/>
  <c r="E168" i="11"/>
  <c r="P221" i="6"/>
  <c r="P656" i="6"/>
  <c r="O498" i="11"/>
  <c r="O497" i="11"/>
  <c r="P497" i="11"/>
  <c r="O496" i="11"/>
  <c r="P442" i="11"/>
  <c r="P421" i="6"/>
  <c r="P200" i="6"/>
  <c r="P216" i="6"/>
  <c r="E280" i="11"/>
  <c r="O510" i="6"/>
  <c r="N337" i="6"/>
  <c r="I337" i="6"/>
  <c r="L337" i="6"/>
  <c r="N510" i="6"/>
  <c r="J353" i="6"/>
  <c r="O353" i="6"/>
  <c r="L353" i="6"/>
  <c r="J337" i="6"/>
  <c r="J510" i="6"/>
  <c r="K510" i="6"/>
  <c r="M337" i="6"/>
  <c r="N353" i="6"/>
  <c r="O195" i="6"/>
  <c r="O416" i="6"/>
  <c r="K337" i="6"/>
  <c r="M353" i="6"/>
  <c r="P499" i="6"/>
  <c r="M510" i="6"/>
  <c r="L510" i="6"/>
  <c r="K353" i="6"/>
  <c r="I353" i="6"/>
  <c r="O179" i="6"/>
  <c r="O557" i="6"/>
  <c r="O337" i="6"/>
  <c r="O573" i="6"/>
  <c r="J432" i="6"/>
  <c r="H432" i="6"/>
  <c r="G432" i="6"/>
  <c r="F432" i="6"/>
  <c r="N432" i="6"/>
  <c r="L432" i="6"/>
  <c r="M432" i="6"/>
  <c r="K432" i="6"/>
  <c r="I432" i="6"/>
  <c r="F391" i="6"/>
  <c r="K227" i="6"/>
  <c r="F227" i="6"/>
  <c r="M227" i="6"/>
  <c r="N227" i="6"/>
  <c r="H227" i="6"/>
  <c r="I227" i="6"/>
  <c r="J227" i="6"/>
  <c r="L227" i="6"/>
  <c r="G227" i="6"/>
  <c r="K211" i="6"/>
  <c r="F211" i="6"/>
  <c r="G211" i="6"/>
  <c r="M211" i="6"/>
  <c r="N211" i="6"/>
  <c r="H211" i="6"/>
  <c r="I211" i="6"/>
  <c r="J211" i="6"/>
  <c r="L211" i="6"/>
  <c r="F233" i="6"/>
  <c r="N183" i="5"/>
  <c r="N186" i="5"/>
  <c r="P758" i="6"/>
  <c r="K783" i="6"/>
  <c r="K294" i="5"/>
  <c r="P757" i="6"/>
  <c r="N206" i="5"/>
  <c r="N209" i="5"/>
  <c r="O206" i="5"/>
  <c r="O209" i="5"/>
  <c r="G294" i="5"/>
  <c r="J783" i="6"/>
  <c r="P771" i="6"/>
  <c r="G783" i="6"/>
  <c r="J782" i="6"/>
  <c r="J293" i="5"/>
  <c r="P293" i="5"/>
  <c r="E294" i="5"/>
  <c r="P764" i="6"/>
  <c r="P778" i="6"/>
  <c r="F780" i="6"/>
  <c r="F29" i="10"/>
  <c r="P773" i="6"/>
  <c r="M277" i="5"/>
  <c r="P766" i="6"/>
  <c r="K206" i="5"/>
  <c r="K209" i="5"/>
  <c r="P748" i="6"/>
  <c r="P128" i="5"/>
  <c r="E163" i="5"/>
  <c r="L183" i="5"/>
  <c r="L186" i="5"/>
  <c r="F276" i="5"/>
  <c r="F18" i="10"/>
  <c r="F277" i="5"/>
  <c r="E277" i="5"/>
  <c r="E20" i="10"/>
  <c r="E34" i="10"/>
  <c r="E35" i="10"/>
  <c r="P300" i="5"/>
  <c r="E484" i="11"/>
  <c r="O486" i="11"/>
  <c r="O484" i="11"/>
  <c r="O485" i="11"/>
  <c r="E486" i="11"/>
  <c r="E485" i="11"/>
  <c r="N322" i="11"/>
  <c r="N321" i="11"/>
  <c r="N320" i="11"/>
  <c r="E302" i="11"/>
  <c r="E305" i="11"/>
  <c r="E303" i="11"/>
  <c r="E306" i="11"/>
  <c r="E304" i="11"/>
  <c r="E307" i="11"/>
  <c r="E257" i="11"/>
  <c r="E258" i="11"/>
  <c r="E478" i="11"/>
  <c r="O430" i="11"/>
  <c r="E430" i="11"/>
  <c r="O428" i="11"/>
  <c r="O429" i="11"/>
  <c r="E60" i="11"/>
  <c r="E91" i="11"/>
  <c r="M260" i="6"/>
  <c r="M276" i="6"/>
  <c r="M292" i="6"/>
  <c r="M308" i="6"/>
  <c r="M313" i="6"/>
  <c r="M692" i="6"/>
  <c r="M210" i="11"/>
  <c r="M693" i="6"/>
  <c r="M215" i="11"/>
  <c r="M220" i="11"/>
  <c r="L260" i="6"/>
  <c r="L276" i="6"/>
  <c r="L292" i="6"/>
  <c r="L308" i="6"/>
  <c r="L313" i="6"/>
  <c r="L692" i="6"/>
  <c r="L210" i="11"/>
  <c r="L693" i="6"/>
  <c r="L215" i="11"/>
  <c r="L220" i="11"/>
  <c r="K260" i="6"/>
  <c r="K276" i="6"/>
  <c r="K292" i="6"/>
  <c r="K308" i="6"/>
  <c r="K313" i="6"/>
  <c r="K692" i="6"/>
  <c r="K210" i="11"/>
  <c r="K693" i="6"/>
  <c r="K215" i="11"/>
  <c r="K220" i="11"/>
  <c r="J260" i="6"/>
  <c r="J276" i="6"/>
  <c r="J292" i="6"/>
  <c r="J308" i="6"/>
  <c r="J313" i="6"/>
  <c r="J692" i="6"/>
  <c r="J210" i="11"/>
  <c r="J693" i="6"/>
  <c r="J215" i="11"/>
  <c r="J220" i="11"/>
  <c r="I260" i="6"/>
  <c r="I276" i="6"/>
  <c r="I292" i="6"/>
  <c r="I308" i="6"/>
  <c r="I313" i="6"/>
  <c r="I692" i="6"/>
  <c r="I210" i="11"/>
  <c r="I693" i="6"/>
  <c r="I215" i="11"/>
  <c r="I220" i="11"/>
  <c r="H260" i="6"/>
  <c r="H276" i="6"/>
  <c r="H292" i="6"/>
  <c r="H308" i="6"/>
  <c r="H313" i="6"/>
  <c r="H692" i="6"/>
  <c r="H210" i="11"/>
  <c r="H693" i="6"/>
  <c r="H215" i="11"/>
  <c r="H220" i="11"/>
  <c r="G260" i="6"/>
  <c r="G276" i="6"/>
  <c r="G292" i="6"/>
  <c r="G308" i="6"/>
  <c r="G313" i="6"/>
  <c r="G692" i="6"/>
  <c r="G210" i="11"/>
  <c r="G693" i="6"/>
  <c r="G215" i="11"/>
  <c r="G220" i="11"/>
  <c r="F260" i="6"/>
  <c r="F276" i="6"/>
  <c r="F292" i="6"/>
  <c r="F308" i="6"/>
  <c r="F313" i="6"/>
  <c r="F692" i="6"/>
  <c r="F210" i="11"/>
  <c r="F693" i="6"/>
  <c r="F215" i="11"/>
  <c r="F220" i="11"/>
  <c r="P220" i="11"/>
  <c r="O222" i="11"/>
  <c r="O297" i="11"/>
  <c r="O223" i="11"/>
  <c r="O298" i="11"/>
  <c r="O221" i="11"/>
  <c r="O296" i="11"/>
  <c r="E58" i="11"/>
  <c r="E57" i="11"/>
  <c r="E59" i="11"/>
  <c r="P384" i="6"/>
  <c r="P368" i="6"/>
  <c r="E30" i="13"/>
  <c r="E428" i="11"/>
  <c r="P165" i="11"/>
  <c r="P167" i="11"/>
  <c r="P166" i="11"/>
  <c r="P344" i="6"/>
  <c r="P336" i="6"/>
  <c r="P532" i="6"/>
  <c r="P347" i="6"/>
  <c r="P326" i="6"/>
  <c r="P327" i="6"/>
  <c r="P343" i="6"/>
  <c r="P346" i="6"/>
  <c r="P345" i="6"/>
  <c r="P342" i="6"/>
  <c r="P328" i="6"/>
  <c r="P170" i="11"/>
  <c r="P168" i="11"/>
  <c r="P280" i="11"/>
  <c r="P169" i="6"/>
  <c r="G277" i="5"/>
  <c r="G276" i="5"/>
  <c r="P116" i="11"/>
  <c r="P547" i="6"/>
  <c r="P546" i="6"/>
  <c r="P556" i="6"/>
  <c r="P498" i="11"/>
  <c r="P169" i="11"/>
  <c r="P496" i="11"/>
  <c r="O241" i="11"/>
  <c r="O240" i="11"/>
  <c r="O239" i="11"/>
  <c r="P414" i="5"/>
  <c r="N405" i="11"/>
  <c r="N404" i="11"/>
  <c r="N403" i="11"/>
  <c r="N406" i="11"/>
  <c r="P170" i="6"/>
  <c r="P168" i="6"/>
  <c r="P188" i="6"/>
  <c r="P185" i="6"/>
  <c r="P189" i="6"/>
  <c r="P187" i="6"/>
  <c r="P186" i="6"/>
  <c r="P415" i="6"/>
  <c r="P184" i="6"/>
  <c r="P478" i="6"/>
  <c r="K183" i="5"/>
  <c r="K186" i="5"/>
  <c r="L277" i="5"/>
  <c r="P26" i="10"/>
  <c r="P27" i="10"/>
  <c r="M183" i="5"/>
  <c r="M186" i="5"/>
  <c r="P650" i="6"/>
  <c r="E476" i="11"/>
  <c r="E479" i="11"/>
  <c r="E477" i="11"/>
  <c r="E480" i="11"/>
  <c r="P563" i="6"/>
  <c r="P673" i="6"/>
  <c r="P273" i="6"/>
  <c r="P562" i="6"/>
  <c r="P305" i="6"/>
  <c r="P226" i="6"/>
  <c r="P406" i="6"/>
  <c r="O333" i="11"/>
  <c r="P333" i="11"/>
  <c r="O332" i="11"/>
  <c r="P332" i="11"/>
  <c r="P278" i="11"/>
  <c r="O334" i="11"/>
  <c r="P334" i="11"/>
  <c r="P210" i="6"/>
  <c r="P572" i="6"/>
  <c r="P405" i="6"/>
  <c r="P588" i="6"/>
  <c r="P289" i="6"/>
  <c r="F626" i="6"/>
  <c r="F683" i="6"/>
  <c r="F15" i="10"/>
  <c r="F23" i="10"/>
  <c r="F183" i="5"/>
  <c r="E149" i="11"/>
  <c r="E147" i="11"/>
  <c r="E148" i="11"/>
  <c r="P666" i="6"/>
  <c r="F312" i="6"/>
  <c r="P431" i="6"/>
  <c r="F573" i="6"/>
  <c r="H573" i="6"/>
  <c r="L573" i="6"/>
  <c r="J573" i="6"/>
  <c r="M573" i="6"/>
  <c r="K573" i="6"/>
  <c r="I573" i="6"/>
  <c r="N573" i="6"/>
  <c r="G573" i="6"/>
  <c r="F557" i="6"/>
  <c r="H557" i="6"/>
  <c r="L557" i="6"/>
  <c r="J557" i="6"/>
  <c r="M557" i="6"/>
  <c r="N557" i="6"/>
  <c r="I557" i="6"/>
  <c r="K557" i="6"/>
  <c r="G557" i="6"/>
  <c r="H416" i="6"/>
  <c r="J416" i="6"/>
  <c r="G416" i="6"/>
  <c r="K416" i="6"/>
  <c r="F416" i="6"/>
  <c r="I416" i="6"/>
  <c r="N416" i="6"/>
  <c r="M416" i="6"/>
  <c r="L416" i="6"/>
  <c r="K195" i="6"/>
  <c r="F195" i="6"/>
  <c r="M195" i="6"/>
  <c r="G195" i="6"/>
  <c r="H195" i="6"/>
  <c r="I195" i="6"/>
  <c r="J195" i="6"/>
  <c r="N195" i="6"/>
  <c r="L195" i="6"/>
  <c r="K179" i="6"/>
  <c r="F179" i="6"/>
  <c r="G179" i="6"/>
  <c r="I179" i="6"/>
  <c r="M179" i="6"/>
  <c r="H179" i="6"/>
  <c r="N179" i="6"/>
  <c r="J179" i="6"/>
  <c r="L179" i="6"/>
  <c r="F679" i="6"/>
  <c r="F22" i="10"/>
  <c r="M294" i="5"/>
  <c r="L294" i="5"/>
  <c r="L783" i="6"/>
  <c r="O161" i="5"/>
  <c r="O164" i="5"/>
  <c r="O306" i="5"/>
  <c r="P30" i="10"/>
  <c r="P19" i="10"/>
  <c r="N161" i="5"/>
  <c r="N164" i="5"/>
  <c r="J294" i="5"/>
  <c r="I294" i="5"/>
  <c r="H783" i="6"/>
  <c r="H294" i="5"/>
  <c r="I783" i="6"/>
  <c r="F783" i="6"/>
  <c r="P782" i="6"/>
  <c r="P780" i="6"/>
  <c r="P769" i="6"/>
  <c r="P762" i="6"/>
  <c r="P276" i="5"/>
  <c r="E36" i="10"/>
  <c r="P352" i="6"/>
  <c r="N467" i="11"/>
  <c r="N470" i="11"/>
  <c r="N468" i="11"/>
  <c r="N471" i="11"/>
  <c r="N466" i="11"/>
  <c r="N469" i="11"/>
  <c r="N421" i="11"/>
  <c r="N422" i="11"/>
  <c r="E322" i="11"/>
  <c r="E321" i="11"/>
  <c r="E320" i="11"/>
  <c r="O302" i="11"/>
  <c r="O305" i="11"/>
  <c r="O303" i="11"/>
  <c r="O306" i="11"/>
  <c r="O304" i="11"/>
  <c r="O307" i="11"/>
  <c r="E134" i="11"/>
  <c r="E158" i="11"/>
  <c r="E132" i="11"/>
  <c r="E156" i="11"/>
  <c r="E133" i="11"/>
  <c r="E157" i="11"/>
  <c r="E100" i="11"/>
  <c r="E101" i="11"/>
  <c r="N427" i="11"/>
  <c r="P509" i="6"/>
  <c r="P391" i="6"/>
  <c r="P526" i="6"/>
  <c r="F527" i="6"/>
  <c r="G527" i="6"/>
  <c r="G528" i="6"/>
  <c r="P385" i="6"/>
  <c r="F386" i="6"/>
  <c r="G386" i="6"/>
  <c r="H386" i="6"/>
  <c r="N313" i="11"/>
  <c r="N316" i="11"/>
  <c r="N311" i="11"/>
  <c r="N312" i="11"/>
  <c r="P369" i="6"/>
  <c r="F370" i="6"/>
  <c r="G370" i="6"/>
  <c r="G371" i="6"/>
  <c r="P18" i="10"/>
  <c r="P579" i="6"/>
  <c r="O313" i="11"/>
  <c r="E483" i="11"/>
  <c r="E489" i="11"/>
  <c r="E504" i="11"/>
  <c r="E429" i="11"/>
  <c r="E431" i="11"/>
  <c r="E482" i="11"/>
  <c r="E488" i="11"/>
  <c r="E503" i="11"/>
  <c r="P178" i="6"/>
  <c r="P438" i="6"/>
  <c r="P194" i="6"/>
  <c r="P619" i="6"/>
  <c r="L206" i="5"/>
  <c r="L209" i="5"/>
  <c r="P28" i="10"/>
  <c r="K277" i="5"/>
  <c r="P277" i="5"/>
  <c r="G206" i="5"/>
  <c r="G209" i="5"/>
  <c r="H183" i="5"/>
  <c r="H186" i="5"/>
  <c r="M206" i="5"/>
  <c r="M209" i="5"/>
  <c r="P651" i="6"/>
  <c r="F652" i="6"/>
  <c r="F653" i="6"/>
  <c r="F16" i="10"/>
  <c r="F24" i="10"/>
  <c r="F206" i="5"/>
  <c r="P432" i="6"/>
  <c r="F433" i="6"/>
  <c r="F186" i="5"/>
  <c r="E335" i="5"/>
  <c r="P485" i="6"/>
  <c r="P462" i="6"/>
  <c r="O476" i="11"/>
  <c r="O479" i="11"/>
  <c r="O475" i="11"/>
  <c r="O478" i="11"/>
  <c r="O477" i="11"/>
  <c r="O480" i="11"/>
  <c r="P211" i="6"/>
  <c r="F212" i="6"/>
  <c r="P667" i="6"/>
  <c r="F668" i="6"/>
  <c r="F31" i="10"/>
  <c r="P510" i="6"/>
  <c r="F511" i="6"/>
  <c r="P257" i="6"/>
  <c r="G183" i="5"/>
  <c r="G186" i="5"/>
  <c r="P593" i="6"/>
  <c r="P227" i="6"/>
  <c r="F228" i="6"/>
  <c r="J206" i="5"/>
  <c r="J209" i="5"/>
  <c r="F161" i="5"/>
  <c r="F164" i="5"/>
  <c r="F14" i="10"/>
  <c r="F20" i="10"/>
  <c r="M783" i="6"/>
  <c r="N306" i="5"/>
  <c r="P683" i="6"/>
  <c r="E445" i="11"/>
  <c r="E446" i="11"/>
  <c r="E37" i="10"/>
  <c r="E318" i="5"/>
  <c r="E343" i="5"/>
  <c r="N484" i="11"/>
  <c r="N485" i="11"/>
  <c r="N486" i="11"/>
  <c r="O322" i="11"/>
  <c r="O321" i="11"/>
  <c r="O320" i="11"/>
  <c r="E150" i="11"/>
  <c r="E153" i="11"/>
  <c r="E481" i="11"/>
  <c r="E487" i="11"/>
  <c r="E502" i="11"/>
  <c r="N428" i="11"/>
  <c r="N430" i="11"/>
  <c r="N314" i="11"/>
  <c r="N319" i="11"/>
  <c r="N325" i="11"/>
  <c r="N340" i="11"/>
  <c r="O316" i="11"/>
  <c r="O319" i="11"/>
  <c r="N315" i="11"/>
  <c r="N318" i="11"/>
  <c r="N324" i="11"/>
  <c r="N339" i="11"/>
  <c r="E151" i="11"/>
  <c r="E154" i="11"/>
  <c r="E152" i="11"/>
  <c r="E155" i="11"/>
  <c r="E102" i="11"/>
  <c r="E103" i="11"/>
  <c r="G161" i="5"/>
  <c r="G164" i="5"/>
  <c r="P679" i="6"/>
  <c r="H527" i="6"/>
  <c r="I527" i="6"/>
  <c r="I528" i="6"/>
  <c r="F528" i="6"/>
  <c r="P337" i="6"/>
  <c r="F338" i="6"/>
  <c r="G338" i="6"/>
  <c r="G339" i="6"/>
  <c r="P353" i="6"/>
  <c r="F354" i="6"/>
  <c r="G354" i="6"/>
  <c r="G355" i="6"/>
  <c r="F387" i="6"/>
  <c r="F371" i="6"/>
  <c r="H370" i="6"/>
  <c r="H371" i="6"/>
  <c r="N423" i="5"/>
  <c r="J183" i="5"/>
  <c r="J186" i="5"/>
  <c r="H206" i="5"/>
  <c r="H209" i="5"/>
  <c r="P557" i="6"/>
  <c r="F558" i="6"/>
  <c r="G558" i="6"/>
  <c r="G559" i="6"/>
  <c r="O311" i="11"/>
  <c r="O312" i="11"/>
  <c r="E424" i="5"/>
  <c r="E506" i="11"/>
  <c r="E509" i="11"/>
  <c r="E16" i="11"/>
  <c r="N476" i="11"/>
  <c r="N479" i="11"/>
  <c r="N475" i="11"/>
  <c r="N478" i="11"/>
  <c r="N477" i="11"/>
  <c r="N480" i="11"/>
  <c r="E507" i="11"/>
  <c r="E510" i="11"/>
  <c r="E17" i="11"/>
  <c r="P233" i="6"/>
  <c r="P179" i="6"/>
  <c r="F180" i="6"/>
  <c r="G180" i="6"/>
  <c r="P195" i="6"/>
  <c r="F196" i="6"/>
  <c r="F197" i="6"/>
  <c r="L161" i="5"/>
  <c r="L164" i="5"/>
  <c r="G387" i="6"/>
  <c r="H161" i="5"/>
  <c r="H164" i="5"/>
  <c r="J161" i="5"/>
  <c r="J164" i="5"/>
  <c r="P573" i="6"/>
  <c r="F574" i="6"/>
  <c r="F575" i="6"/>
  <c r="P416" i="6"/>
  <c r="F417" i="6"/>
  <c r="F418" i="6"/>
  <c r="P626" i="6"/>
  <c r="G652" i="6"/>
  <c r="P603" i="6"/>
  <c r="F213" i="6"/>
  <c r="G212" i="6"/>
  <c r="F434" i="6"/>
  <c r="G433" i="6"/>
  <c r="J527" i="6"/>
  <c r="K527" i="6"/>
  <c r="P681" i="6"/>
  <c r="O481" i="11"/>
  <c r="K161" i="5"/>
  <c r="K164" i="5"/>
  <c r="F481" i="6"/>
  <c r="F669" i="6"/>
  <c r="F674" i="6"/>
  <c r="G668" i="6"/>
  <c r="H668" i="6"/>
  <c r="P312" i="6"/>
  <c r="O483" i="11"/>
  <c r="H387" i="6"/>
  <c r="G228" i="6"/>
  <c r="O482" i="11"/>
  <c r="I206" i="5"/>
  <c r="I209" i="5"/>
  <c r="F512" i="6"/>
  <c r="F209" i="5"/>
  <c r="I386" i="6"/>
  <c r="J386" i="6"/>
  <c r="F229" i="6"/>
  <c r="G511" i="6"/>
  <c r="H511" i="6"/>
  <c r="F294" i="5"/>
  <c r="M161" i="5"/>
  <c r="M164" i="5"/>
  <c r="F25" i="10"/>
  <c r="O431" i="11"/>
  <c r="P755" i="6"/>
  <c r="O783" i="6"/>
  <c r="N783" i="6"/>
  <c r="P759" i="6"/>
  <c r="H433" i="6"/>
  <c r="H434" i="6"/>
  <c r="G697" i="6"/>
  <c r="G379" i="11"/>
  <c r="O445" i="11"/>
  <c r="O446" i="11"/>
  <c r="E117" i="11"/>
  <c r="E118" i="11"/>
  <c r="E336" i="5"/>
  <c r="E10" i="5"/>
  <c r="E301" i="5"/>
  <c r="E295" i="5"/>
  <c r="E10" i="13"/>
  <c r="E28" i="13"/>
  <c r="E278" i="5"/>
  <c r="E328" i="5"/>
  <c r="E344" i="5"/>
  <c r="E307" i="5"/>
  <c r="E260" i="5"/>
  <c r="P16" i="10"/>
  <c r="N285" i="11"/>
  <c r="P14" i="10"/>
  <c r="H306" i="5"/>
  <c r="E505" i="11"/>
  <c r="E508" i="11"/>
  <c r="E15" i="11"/>
  <c r="N317" i="11"/>
  <c r="N323" i="11"/>
  <c r="N338" i="11"/>
  <c r="O314" i="11"/>
  <c r="O317" i="11"/>
  <c r="O315" i="11"/>
  <c r="E161" i="11"/>
  <c r="E176" i="11"/>
  <c r="E160" i="11"/>
  <c r="E175" i="11"/>
  <c r="E159" i="11"/>
  <c r="E174" i="11"/>
  <c r="E422" i="5"/>
  <c r="G306" i="5"/>
  <c r="F339" i="6"/>
  <c r="I161" i="5"/>
  <c r="I164" i="5"/>
  <c r="P164" i="5"/>
  <c r="P22" i="10"/>
  <c r="H528" i="6"/>
  <c r="F533" i="6"/>
  <c r="F707" i="6"/>
  <c r="F389" i="11"/>
  <c r="F355" i="6"/>
  <c r="H354" i="6"/>
  <c r="I354" i="6"/>
  <c r="I370" i="6"/>
  <c r="I371" i="6"/>
  <c r="H338" i="6"/>
  <c r="H339" i="6"/>
  <c r="G392" i="6"/>
  <c r="N343" i="11"/>
  <c r="N346" i="11"/>
  <c r="N14" i="11"/>
  <c r="N342" i="11"/>
  <c r="N345" i="11"/>
  <c r="N13" i="11"/>
  <c r="P24" i="10"/>
  <c r="F559" i="6"/>
  <c r="F580" i="6"/>
  <c r="F711" i="6"/>
  <c r="F74" i="11"/>
  <c r="H558" i="6"/>
  <c r="E447" i="11"/>
  <c r="E448" i="11"/>
  <c r="E449" i="11"/>
  <c r="N483" i="11"/>
  <c r="N489" i="11"/>
  <c r="N504" i="11"/>
  <c r="N481" i="11"/>
  <c r="N487" i="11"/>
  <c r="N502" i="11"/>
  <c r="N482" i="11"/>
  <c r="N488" i="11"/>
  <c r="N503" i="11"/>
  <c r="N429" i="11"/>
  <c r="N431" i="11"/>
  <c r="F181" i="6"/>
  <c r="F689" i="6"/>
  <c r="G196" i="6"/>
  <c r="L306" i="5"/>
  <c r="F439" i="6"/>
  <c r="F440" i="6"/>
  <c r="G574" i="6"/>
  <c r="G417" i="6"/>
  <c r="G418" i="6"/>
  <c r="H180" i="6"/>
  <c r="K528" i="6"/>
  <c r="I387" i="6"/>
  <c r="L527" i="6"/>
  <c r="M527" i="6"/>
  <c r="J528" i="6"/>
  <c r="G653" i="6"/>
  <c r="H652" i="6"/>
  <c r="I652" i="6"/>
  <c r="J652" i="6"/>
  <c r="H512" i="6"/>
  <c r="K306" i="5"/>
  <c r="M306" i="5"/>
  <c r="P206" i="5"/>
  <c r="P209" i="5"/>
  <c r="G512" i="6"/>
  <c r="G533" i="6"/>
  <c r="G707" i="6"/>
  <c r="G389" i="11"/>
  <c r="J387" i="6"/>
  <c r="F465" i="6"/>
  <c r="F486" i="6"/>
  <c r="J370" i="6"/>
  <c r="K386" i="6"/>
  <c r="L386" i="6"/>
  <c r="F306" i="5"/>
  <c r="I511" i="6"/>
  <c r="I512" i="6"/>
  <c r="I533" i="6"/>
  <c r="F34" i="10"/>
  <c r="F622" i="6"/>
  <c r="G669" i="6"/>
  <c r="H228" i="6"/>
  <c r="G689" i="6"/>
  <c r="O489" i="11"/>
  <c r="O504" i="11"/>
  <c r="O424" i="5"/>
  <c r="F717" i="6"/>
  <c r="F402" i="11"/>
  <c r="F675" i="6"/>
  <c r="H212" i="6"/>
  <c r="H669" i="6"/>
  <c r="O487" i="11"/>
  <c r="O502" i="11"/>
  <c r="I668" i="6"/>
  <c r="G481" i="6"/>
  <c r="I183" i="5"/>
  <c r="G434" i="6"/>
  <c r="P783" i="6"/>
  <c r="P29" i="10"/>
  <c r="O294" i="5"/>
  <c r="I433" i="6"/>
  <c r="J433" i="6"/>
  <c r="H559" i="6"/>
  <c r="G575" i="6"/>
  <c r="G580" i="6"/>
  <c r="G711" i="6"/>
  <c r="G74" i="11"/>
  <c r="I228" i="6"/>
  <c r="G383" i="11"/>
  <c r="G418" i="11"/>
  <c r="G382" i="11"/>
  <c r="G459" i="11"/>
  <c r="G381" i="11"/>
  <c r="G458" i="11"/>
  <c r="G380" i="11"/>
  <c r="G457" i="11"/>
  <c r="F697" i="6"/>
  <c r="F379" i="11"/>
  <c r="H697" i="6"/>
  <c r="H379" i="11"/>
  <c r="N445" i="11"/>
  <c r="N446" i="11"/>
  <c r="E178" i="11"/>
  <c r="E119" i="11"/>
  <c r="E120" i="11"/>
  <c r="E121" i="11"/>
  <c r="G343" i="5"/>
  <c r="L343" i="5"/>
  <c r="J306" i="5"/>
  <c r="O323" i="11"/>
  <c r="O338" i="11"/>
  <c r="N341" i="11"/>
  <c r="N344" i="11"/>
  <c r="N12" i="11"/>
  <c r="O318" i="11"/>
  <c r="O324" i="11"/>
  <c r="O339" i="11"/>
  <c r="E179" i="11"/>
  <c r="E182" i="11"/>
  <c r="E11" i="11"/>
  <c r="E177" i="11"/>
  <c r="H533" i="6"/>
  <c r="H534" i="6"/>
  <c r="F51" i="11"/>
  <c r="G51" i="11"/>
  <c r="G393" i="6"/>
  <c r="G696" i="6"/>
  <c r="G374" i="11"/>
  <c r="F234" i="6"/>
  <c r="F235" i="6"/>
  <c r="F534" i="6"/>
  <c r="F392" i="6"/>
  <c r="P161" i="5"/>
  <c r="H355" i="6"/>
  <c r="H392" i="6"/>
  <c r="I338" i="6"/>
  <c r="J338" i="6"/>
  <c r="K338" i="6"/>
  <c r="K339" i="6"/>
  <c r="I558" i="6"/>
  <c r="O423" i="5"/>
  <c r="E450" i="11"/>
  <c r="N505" i="11"/>
  <c r="N508" i="11"/>
  <c r="N15" i="11"/>
  <c r="N506" i="11"/>
  <c r="N509" i="11"/>
  <c r="N16" i="11"/>
  <c r="N424" i="5"/>
  <c r="N507" i="11"/>
  <c r="N510" i="11"/>
  <c r="N17" i="11"/>
  <c r="H196" i="6"/>
  <c r="F701" i="6"/>
  <c r="F61" i="11"/>
  <c r="H574" i="6"/>
  <c r="F682" i="6"/>
  <c r="H417" i="6"/>
  <c r="G439" i="6"/>
  <c r="G701" i="6"/>
  <c r="G61" i="11"/>
  <c r="F581" i="6"/>
  <c r="I180" i="6"/>
  <c r="L528" i="6"/>
  <c r="G465" i="6"/>
  <c r="G486" i="6"/>
  <c r="G487" i="6"/>
  <c r="L338" i="6"/>
  <c r="L339" i="6"/>
  <c r="P527" i="6"/>
  <c r="K652" i="6"/>
  <c r="L652" i="6"/>
  <c r="G674" i="6"/>
  <c r="G717" i="6"/>
  <c r="G402" i="11"/>
  <c r="M528" i="6"/>
  <c r="I355" i="6"/>
  <c r="J354" i="6"/>
  <c r="K354" i="6"/>
  <c r="K355" i="6"/>
  <c r="K387" i="6"/>
  <c r="J653" i="6"/>
  <c r="G534" i="6"/>
  <c r="H653" i="6"/>
  <c r="H674" i="6"/>
  <c r="H675" i="6"/>
  <c r="I653" i="6"/>
  <c r="M386" i="6"/>
  <c r="M387" i="6"/>
  <c r="L387" i="6"/>
  <c r="G606" i="6"/>
  <c r="F606" i="6"/>
  <c r="F627" i="6"/>
  <c r="I465" i="6"/>
  <c r="P15" i="10"/>
  <c r="I534" i="6"/>
  <c r="I707" i="6"/>
  <c r="I389" i="11"/>
  <c r="O325" i="11"/>
  <c r="O340" i="11"/>
  <c r="G622" i="6"/>
  <c r="J371" i="6"/>
  <c r="K370" i="6"/>
  <c r="H465" i="6"/>
  <c r="H481" i="6"/>
  <c r="I186" i="5"/>
  <c r="P186" i="5"/>
  <c r="P183" i="5"/>
  <c r="J668" i="6"/>
  <c r="I481" i="6"/>
  <c r="F708" i="6"/>
  <c r="F709" i="6"/>
  <c r="F704" i="6"/>
  <c r="F225" i="11"/>
  <c r="F487" i="6"/>
  <c r="F36" i="10"/>
  <c r="F35" i="10"/>
  <c r="O447" i="11"/>
  <c r="F712" i="6"/>
  <c r="F713" i="6"/>
  <c r="I212" i="6"/>
  <c r="I669" i="6"/>
  <c r="F718" i="6"/>
  <c r="F719" i="6"/>
  <c r="G708" i="6"/>
  <c r="G709" i="6"/>
  <c r="J511" i="6"/>
  <c r="J512" i="6"/>
  <c r="J533" i="6"/>
  <c r="J465" i="6"/>
  <c r="O505" i="11"/>
  <c r="P23" i="10"/>
  <c r="O488" i="11"/>
  <c r="O503" i="11"/>
  <c r="O507" i="11"/>
  <c r="I434" i="6"/>
  <c r="O343" i="5"/>
  <c r="N294" i="5"/>
  <c r="P294" i="5"/>
  <c r="P31" i="10"/>
  <c r="H689" i="6"/>
  <c r="H51" i="11"/>
  <c r="H54" i="11"/>
  <c r="H131" i="11"/>
  <c r="J228" i="6"/>
  <c r="K228" i="6"/>
  <c r="G581" i="6"/>
  <c r="H418" i="6"/>
  <c r="H439" i="6"/>
  <c r="H440" i="6"/>
  <c r="H575" i="6"/>
  <c r="H580" i="6"/>
  <c r="H581" i="6"/>
  <c r="I559" i="6"/>
  <c r="F217" i="11"/>
  <c r="F294" i="11"/>
  <c r="F218" i="11"/>
  <c r="F295" i="11"/>
  <c r="F216" i="11"/>
  <c r="F293" i="11"/>
  <c r="F219" i="11"/>
  <c r="F254" i="11"/>
  <c r="H383" i="11"/>
  <c r="H418" i="11"/>
  <c r="H380" i="11"/>
  <c r="H457" i="11"/>
  <c r="H381" i="11"/>
  <c r="H458" i="11"/>
  <c r="H382" i="11"/>
  <c r="H459" i="11"/>
  <c r="F382" i="11"/>
  <c r="F459" i="11"/>
  <c r="F383" i="11"/>
  <c r="F418" i="11"/>
  <c r="F380" i="11"/>
  <c r="F457" i="11"/>
  <c r="F381" i="11"/>
  <c r="F458" i="11"/>
  <c r="E122" i="11"/>
  <c r="E181" i="11"/>
  <c r="E10" i="11"/>
  <c r="J343" i="5"/>
  <c r="H343" i="5"/>
  <c r="K343" i="5"/>
  <c r="M343" i="5"/>
  <c r="L335" i="5"/>
  <c r="J335" i="5"/>
  <c r="F184" i="5"/>
  <c r="G335" i="5"/>
  <c r="K335" i="5"/>
  <c r="M335" i="5"/>
  <c r="J339" i="6"/>
  <c r="J558" i="6"/>
  <c r="G384" i="11"/>
  <c r="G385" i="11"/>
  <c r="G460" i="11"/>
  <c r="O341" i="11"/>
  <c r="O342" i="11"/>
  <c r="O345" i="11"/>
  <c r="O13" i="11"/>
  <c r="H707" i="6"/>
  <c r="H389" i="11"/>
  <c r="H393" i="11"/>
  <c r="H420" i="11"/>
  <c r="E180" i="11"/>
  <c r="E9" i="11"/>
  <c r="G52" i="11"/>
  <c r="G129" i="11"/>
  <c r="G53" i="11"/>
  <c r="G130" i="11"/>
  <c r="G54" i="11"/>
  <c r="G131" i="11"/>
  <c r="F55" i="11"/>
  <c r="F90" i="11"/>
  <c r="F52" i="11"/>
  <c r="F129" i="11"/>
  <c r="F53" i="11"/>
  <c r="F130" i="11"/>
  <c r="F54" i="11"/>
  <c r="F131" i="11"/>
  <c r="H393" i="6"/>
  <c r="H696" i="6"/>
  <c r="G698" i="6"/>
  <c r="G699" i="6"/>
  <c r="G377" i="11"/>
  <c r="G456" i="11"/>
  <c r="G378" i="11"/>
  <c r="G417" i="11"/>
  <c r="G376" i="11"/>
  <c r="G455" i="11"/>
  <c r="G375" i="11"/>
  <c r="G454" i="11"/>
  <c r="F393" i="6"/>
  <c r="F696" i="6"/>
  <c r="F688" i="6"/>
  <c r="F46" i="11"/>
  <c r="F56" i="11"/>
  <c r="F60" i="11"/>
  <c r="F91" i="11"/>
  <c r="F680" i="6"/>
  <c r="I339" i="6"/>
  <c r="N447" i="11"/>
  <c r="N448" i="11"/>
  <c r="N449" i="11"/>
  <c r="P528" i="6"/>
  <c r="P387" i="6"/>
  <c r="F702" i="6"/>
  <c r="F703" i="6"/>
  <c r="I574" i="6"/>
  <c r="G235" i="6"/>
  <c r="I196" i="6"/>
  <c r="G440" i="6"/>
  <c r="I417" i="6"/>
  <c r="I418" i="6"/>
  <c r="J355" i="6"/>
  <c r="F314" i="6"/>
  <c r="J180" i="6"/>
  <c r="K180" i="6"/>
  <c r="L180" i="6"/>
  <c r="F694" i="6"/>
  <c r="P386" i="6"/>
  <c r="G704" i="6"/>
  <c r="G680" i="6"/>
  <c r="G682" i="6"/>
  <c r="G675" i="6"/>
  <c r="K653" i="6"/>
  <c r="M338" i="6"/>
  <c r="L354" i="6"/>
  <c r="H717" i="6"/>
  <c r="I674" i="6"/>
  <c r="I675" i="6"/>
  <c r="M652" i="6"/>
  <c r="M653" i="6"/>
  <c r="L653" i="6"/>
  <c r="K511" i="6"/>
  <c r="L481" i="6"/>
  <c r="I606" i="6"/>
  <c r="G627" i="6"/>
  <c r="G684" i="6"/>
  <c r="F37" i="10"/>
  <c r="I486" i="6"/>
  <c r="I487" i="6"/>
  <c r="O510" i="11"/>
  <c r="O17" i="11"/>
  <c r="F405" i="11"/>
  <c r="F404" i="11"/>
  <c r="F403" i="11"/>
  <c r="F406" i="11"/>
  <c r="O506" i="11"/>
  <c r="J534" i="6"/>
  <c r="J707" i="6"/>
  <c r="J389" i="11"/>
  <c r="J434" i="6"/>
  <c r="K433" i="6"/>
  <c r="F391" i="11"/>
  <c r="F464" i="11"/>
  <c r="F390" i="11"/>
  <c r="F463" i="11"/>
  <c r="F392" i="11"/>
  <c r="F465" i="11"/>
  <c r="F393" i="11"/>
  <c r="F420" i="11"/>
  <c r="K668" i="6"/>
  <c r="J669" i="6"/>
  <c r="J674" i="6"/>
  <c r="G712" i="6"/>
  <c r="G713" i="6"/>
  <c r="G702" i="6"/>
  <c r="G703" i="6"/>
  <c r="I306" i="5"/>
  <c r="P25" i="10"/>
  <c r="O508" i="11"/>
  <c r="O15" i="11"/>
  <c r="J212" i="6"/>
  <c r="F335" i="5"/>
  <c r="F64" i="11"/>
  <c r="F137" i="11"/>
  <c r="F63" i="11"/>
  <c r="F136" i="11"/>
  <c r="F62" i="11"/>
  <c r="F135" i="11"/>
  <c r="F65" i="11"/>
  <c r="F92" i="11"/>
  <c r="F343" i="5"/>
  <c r="I708" i="6"/>
  <c r="I709" i="6"/>
  <c r="F77" i="11"/>
  <c r="F78" i="11"/>
  <c r="F76" i="11"/>
  <c r="F75" i="11"/>
  <c r="G392" i="11"/>
  <c r="G465" i="11"/>
  <c r="G390" i="11"/>
  <c r="G463" i="11"/>
  <c r="G391" i="11"/>
  <c r="G464" i="11"/>
  <c r="G393" i="11"/>
  <c r="G420" i="11"/>
  <c r="H486" i="6"/>
  <c r="L370" i="6"/>
  <c r="K371" i="6"/>
  <c r="K392" i="6"/>
  <c r="H622" i="6"/>
  <c r="O343" i="11"/>
  <c r="P20" i="10"/>
  <c r="F714" i="6"/>
  <c r="F238" i="11"/>
  <c r="F628" i="6"/>
  <c r="F684" i="6"/>
  <c r="F705" i="6"/>
  <c r="F706" i="6"/>
  <c r="O448" i="11"/>
  <c r="G718" i="6"/>
  <c r="G719" i="6"/>
  <c r="I439" i="6"/>
  <c r="I440" i="6"/>
  <c r="O335" i="5"/>
  <c r="N343" i="5"/>
  <c r="N335" i="5"/>
  <c r="H52" i="11"/>
  <c r="H129" i="11"/>
  <c r="I689" i="6"/>
  <c r="I51" i="11"/>
  <c r="H53" i="11"/>
  <c r="H130" i="11"/>
  <c r="L228" i="6"/>
  <c r="H711" i="6"/>
  <c r="H74" i="11"/>
  <c r="H701" i="6"/>
  <c r="H61" i="11"/>
  <c r="J559" i="6"/>
  <c r="J196" i="6"/>
  <c r="J574" i="6"/>
  <c r="J575" i="6"/>
  <c r="G217" i="11"/>
  <c r="G294" i="11"/>
  <c r="G218" i="11"/>
  <c r="G295" i="11"/>
  <c r="G219" i="11"/>
  <c r="G254" i="11"/>
  <c r="G216" i="11"/>
  <c r="G293" i="11"/>
  <c r="H216" i="11"/>
  <c r="H293" i="11"/>
  <c r="H217" i="11"/>
  <c r="H294" i="11"/>
  <c r="H218" i="11"/>
  <c r="H295" i="11"/>
  <c r="H219" i="11"/>
  <c r="H254" i="11"/>
  <c r="I697" i="6"/>
  <c r="I379" i="11"/>
  <c r="J697" i="6"/>
  <c r="J379" i="11"/>
  <c r="K697" i="6"/>
  <c r="K379" i="11"/>
  <c r="J218" i="11"/>
  <c r="J295" i="11"/>
  <c r="J278" i="5"/>
  <c r="H335" i="5"/>
  <c r="H336" i="5"/>
  <c r="F207" i="5"/>
  <c r="G328" i="5"/>
  <c r="G162" i="5"/>
  <c r="L328" i="5"/>
  <c r="F162" i="5"/>
  <c r="G207" i="5"/>
  <c r="G184" i="5"/>
  <c r="J392" i="6"/>
  <c r="J696" i="6"/>
  <c r="K558" i="6"/>
  <c r="K559" i="6"/>
  <c r="G387" i="11"/>
  <c r="G462" i="11"/>
  <c r="O344" i="11"/>
  <c r="O12" i="11"/>
  <c r="G386" i="11"/>
  <c r="G461" i="11"/>
  <c r="F468" i="11"/>
  <c r="F471" i="11"/>
  <c r="F466" i="11"/>
  <c r="F469" i="11"/>
  <c r="F467" i="11"/>
  <c r="F470" i="11"/>
  <c r="F421" i="11"/>
  <c r="F422" i="11"/>
  <c r="F138" i="11"/>
  <c r="F141" i="11"/>
  <c r="F139" i="11"/>
  <c r="F142" i="11"/>
  <c r="F140" i="11"/>
  <c r="F143" i="11"/>
  <c r="F93" i="11"/>
  <c r="F94" i="11"/>
  <c r="G388" i="11"/>
  <c r="G419" i="11"/>
  <c r="H391" i="11"/>
  <c r="H464" i="11"/>
  <c r="H392" i="11"/>
  <c r="H465" i="11"/>
  <c r="H390" i="11"/>
  <c r="H463" i="11"/>
  <c r="H708" i="6"/>
  <c r="H709" i="6"/>
  <c r="F58" i="11"/>
  <c r="F133" i="11"/>
  <c r="F57" i="11"/>
  <c r="F132" i="11"/>
  <c r="F59" i="11"/>
  <c r="F134" i="11"/>
  <c r="K393" i="6"/>
  <c r="K696" i="6"/>
  <c r="K374" i="11"/>
  <c r="H374" i="11"/>
  <c r="H698" i="6"/>
  <c r="H699" i="6"/>
  <c r="F374" i="11"/>
  <c r="F698" i="6"/>
  <c r="F699" i="6"/>
  <c r="I392" i="6"/>
  <c r="F49" i="11"/>
  <c r="F128" i="11"/>
  <c r="F50" i="11"/>
  <c r="F89" i="11"/>
  <c r="F48" i="11"/>
  <c r="F127" i="11"/>
  <c r="F47" i="11"/>
  <c r="F126" i="11"/>
  <c r="F690" i="6"/>
  <c r="F691" i="6"/>
  <c r="G690" i="6"/>
  <c r="G691" i="6"/>
  <c r="F427" i="11"/>
  <c r="F695" i="6"/>
  <c r="H718" i="6"/>
  <c r="H719" i="6"/>
  <c r="H402" i="11"/>
  <c r="H403" i="11"/>
  <c r="G705" i="6"/>
  <c r="G706" i="6"/>
  <c r="G710" i="6"/>
  <c r="G225" i="11"/>
  <c r="G228" i="11"/>
  <c r="G301" i="11"/>
  <c r="F99" i="11"/>
  <c r="F344" i="5"/>
  <c r="M336" i="5"/>
  <c r="M328" i="5"/>
  <c r="F295" i="5"/>
  <c r="F328" i="5"/>
  <c r="K318" i="5"/>
  <c r="K328" i="5"/>
  <c r="H278" i="5"/>
  <c r="H328" i="5"/>
  <c r="L307" i="5"/>
  <c r="L344" i="5"/>
  <c r="K344" i="5"/>
  <c r="G344" i="5"/>
  <c r="H344" i="5"/>
  <c r="M344" i="5"/>
  <c r="F710" i="6"/>
  <c r="P653" i="6"/>
  <c r="L336" i="5"/>
  <c r="L278" i="5"/>
  <c r="L260" i="5"/>
  <c r="L10" i="13"/>
  <c r="L318" i="5"/>
  <c r="I575" i="6"/>
  <c r="I580" i="6"/>
  <c r="I581" i="6"/>
  <c r="L301" i="5"/>
  <c r="L295" i="5"/>
  <c r="I235" i="6"/>
  <c r="J417" i="6"/>
  <c r="K417" i="6"/>
  <c r="K418" i="6"/>
  <c r="H235" i="6"/>
  <c r="G278" i="5"/>
  <c r="G260" i="5"/>
  <c r="G301" i="5"/>
  <c r="G307" i="5"/>
  <c r="G336" i="5"/>
  <c r="H295" i="5"/>
  <c r="G10" i="13"/>
  <c r="G318" i="5"/>
  <c r="G295" i="5"/>
  <c r="H301" i="5"/>
  <c r="H318" i="5"/>
  <c r="K10" i="13"/>
  <c r="H307" i="5"/>
  <c r="H260" i="5"/>
  <c r="H10" i="13"/>
  <c r="P652" i="6"/>
  <c r="G694" i="6"/>
  <c r="I717" i="6"/>
  <c r="M481" i="6"/>
  <c r="G314" i="6"/>
  <c r="J481" i="6"/>
  <c r="J486" i="6"/>
  <c r="J704" i="6"/>
  <c r="J225" i="11"/>
  <c r="M339" i="6"/>
  <c r="P338" i="6"/>
  <c r="H606" i="6"/>
  <c r="H627" i="6"/>
  <c r="K336" i="5"/>
  <c r="I704" i="6"/>
  <c r="I225" i="11"/>
  <c r="M354" i="6"/>
  <c r="M355" i="6"/>
  <c r="F307" i="5"/>
  <c r="L355" i="6"/>
  <c r="F278" i="5"/>
  <c r="F301" i="5"/>
  <c r="F318" i="5"/>
  <c r="M180" i="6"/>
  <c r="K481" i="6"/>
  <c r="F10" i="13"/>
  <c r="K260" i="5"/>
  <c r="G628" i="6"/>
  <c r="L465" i="6"/>
  <c r="L486" i="6"/>
  <c r="L487" i="6"/>
  <c r="K307" i="5"/>
  <c r="F260" i="5"/>
  <c r="K278" i="5"/>
  <c r="F10" i="5"/>
  <c r="G714" i="6"/>
  <c r="K301" i="5"/>
  <c r="K465" i="6"/>
  <c r="L511" i="6"/>
  <c r="L512" i="6"/>
  <c r="L533" i="6"/>
  <c r="K512" i="6"/>
  <c r="K533" i="6"/>
  <c r="K295" i="5"/>
  <c r="O346" i="11"/>
  <c r="O14" i="11"/>
  <c r="M370" i="6"/>
  <c r="L371" i="6"/>
  <c r="G77" i="11"/>
  <c r="G78" i="11"/>
  <c r="G76" i="11"/>
  <c r="G75" i="11"/>
  <c r="O285" i="11"/>
  <c r="H487" i="6"/>
  <c r="H704" i="6"/>
  <c r="H225" i="11"/>
  <c r="J717" i="6"/>
  <c r="J402" i="11"/>
  <c r="J675" i="6"/>
  <c r="F228" i="11"/>
  <c r="F301" i="11"/>
  <c r="F227" i="11"/>
  <c r="F300" i="11"/>
  <c r="F226" i="11"/>
  <c r="F299" i="11"/>
  <c r="F229" i="11"/>
  <c r="F256" i="11"/>
  <c r="F336" i="5"/>
  <c r="I392" i="11"/>
  <c r="I465" i="11"/>
  <c r="I391" i="11"/>
  <c r="I464" i="11"/>
  <c r="I390" i="11"/>
  <c r="I463" i="11"/>
  <c r="I393" i="11"/>
  <c r="I420" i="11"/>
  <c r="I622" i="6"/>
  <c r="I627" i="6"/>
  <c r="P306" i="5"/>
  <c r="O509" i="11"/>
  <c r="O16" i="11"/>
  <c r="J622" i="6"/>
  <c r="H314" i="6"/>
  <c r="P34" i="10"/>
  <c r="H680" i="6"/>
  <c r="G405" i="11"/>
  <c r="G403" i="11"/>
  <c r="G404" i="11"/>
  <c r="G406" i="11"/>
  <c r="J606" i="6"/>
  <c r="K434" i="6"/>
  <c r="L433" i="6"/>
  <c r="O449" i="11"/>
  <c r="F715" i="6"/>
  <c r="F716" i="6"/>
  <c r="F720" i="6"/>
  <c r="G63" i="11"/>
  <c r="G136" i="11"/>
  <c r="G64" i="11"/>
  <c r="G137" i="11"/>
  <c r="G62" i="11"/>
  <c r="G135" i="11"/>
  <c r="L668" i="6"/>
  <c r="K669" i="6"/>
  <c r="K674" i="6"/>
  <c r="J708" i="6"/>
  <c r="J709" i="6"/>
  <c r="M10" i="13"/>
  <c r="M260" i="5"/>
  <c r="M318" i="5"/>
  <c r="M301" i="5"/>
  <c r="M295" i="5"/>
  <c r="M278" i="5"/>
  <c r="M307" i="5"/>
  <c r="K622" i="6"/>
  <c r="K212" i="6"/>
  <c r="L212" i="6"/>
  <c r="M212" i="6"/>
  <c r="H682" i="6"/>
  <c r="I682" i="6"/>
  <c r="I701" i="6"/>
  <c r="I61" i="11"/>
  <c r="I62" i="11"/>
  <c r="I135" i="11"/>
  <c r="N344" i="5"/>
  <c r="O336" i="5"/>
  <c r="O318" i="5"/>
  <c r="O295" i="5"/>
  <c r="O307" i="5"/>
  <c r="O328" i="5"/>
  <c r="O344" i="5"/>
  <c r="O278" i="5"/>
  <c r="O301" i="5"/>
  <c r="O260" i="5"/>
  <c r="O10" i="13"/>
  <c r="O28" i="13"/>
  <c r="M228" i="6"/>
  <c r="H712" i="6"/>
  <c r="H713" i="6"/>
  <c r="H702" i="6"/>
  <c r="H703" i="6"/>
  <c r="K196" i="6"/>
  <c r="L558" i="6"/>
  <c r="L559" i="6"/>
  <c r="J580" i="6"/>
  <c r="J581" i="6"/>
  <c r="N212" i="6"/>
  <c r="K574" i="6"/>
  <c r="N180" i="6"/>
  <c r="J689" i="6"/>
  <c r="J51" i="11"/>
  <c r="J393" i="6"/>
  <c r="I218" i="11"/>
  <c r="I295" i="11"/>
  <c r="I219" i="11"/>
  <c r="I254" i="11"/>
  <c r="I216" i="11"/>
  <c r="I293" i="11"/>
  <c r="I217" i="11"/>
  <c r="I294" i="11"/>
  <c r="I381" i="11"/>
  <c r="I458" i="11"/>
  <c r="I383" i="11"/>
  <c r="I418" i="11"/>
  <c r="I380" i="11"/>
  <c r="I457" i="11"/>
  <c r="I382" i="11"/>
  <c r="I459" i="11"/>
  <c r="J381" i="11"/>
  <c r="J458" i="11"/>
  <c r="J382" i="11"/>
  <c r="J459" i="11"/>
  <c r="J383" i="11"/>
  <c r="J418" i="11"/>
  <c r="J380" i="11"/>
  <c r="J457" i="11"/>
  <c r="J219" i="11"/>
  <c r="J254" i="11"/>
  <c r="J216" i="11"/>
  <c r="J293" i="11"/>
  <c r="J217" i="11"/>
  <c r="J294" i="11"/>
  <c r="L697" i="6"/>
  <c r="L379" i="11"/>
  <c r="L383" i="11"/>
  <c r="L418" i="11"/>
  <c r="J344" i="5"/>
  <c r="J336" i="5"/>
  <c r="J328" i="5"/>
  <c r="J10" i="13"/>
  <c r="J28" i="13"/>
  <c r="J318" i="5"/>
  <c r="J301" i="5"/>
  <c r="J260" i="5"/>
  <c r="J295" i="5"/>
  <c r="J307" i="5"/>
  <c r="F31" i="13"/>
  <c r="H162" i="5"/>
  <c r="H184" i="5"/>
  <c r="I184" i="5"/>
  <c r="G31" i="13"/>
  <c r="L28" i="13"/>
  <c r="F28" i="13"/>
  <c r="K28" i="13"/>
  <c r="H28" i="13"/>
  <c r="G28" i="13"/>
  <c r="F156" i="11"/>
  <c r="H466" i="11"/>
  <c r="H469" i="11"/>
  <c r="G467" i="11"/>
  <c r="G470" i="11"/>
  <c r="G466" i="11"/>
  <c r="G469" i="11"/>
  <c r="G468" i="11"/>
  <c r="G471" i="11"/>
  <c r="G421" i="11"/>
  <c r="G422" i="11"/>
  <c r="F157" i="11"/>
  <c r="F158" i="11"/>
  <c r="G140" i="11"/>
  <c r="G143" i="11"/>
  <c r="G138" i="11"/>
  <c r="G141" i="11"/>
  <c r="G139" i="11"/>
  <c r="G142" i="11"/>
  <c r="G93" i="11"/>
  <c r="G94" i="11"/>
  <c r="F384" i="11"/>
  <c r="F386" i="11"/>
  <c r="F461" i="11"/>
  <c r="H384" i="11"/>
  <c r="H386" i="11"/>
  <c r="H461" i="11"/>
  <c r="G427" i="11"/>
  <c r="F102" i="11"/>
  <c r="K381" i="11"/>
  <c r="K458" i="11"/>
  <c r="K382" i="11"/>
  <c r="K459" i="11"/>
  <c r="K383" i="11"/>
  <c r="K418" i="11"/>
  <c r="K380" i="11"/>
  <c r="K457" i="11"/>
  <c r="K384" i="11"/>
  <c r="F212" i="11"/>
  <c r="F291" i="11"/>
  <c r="F224" i="11"/>
  <c r="F255" i="11"/>
  <c r="I54" i="11"/>
  <c r="I131" i="11"/>
  <c r="I52" i="11"/>
  <c r="I129" i="11"/>
  <c r="I53" i="11"/>
  <c r="I130" i="11"/>
  <c r="G48" i="11"/>
  <c r="G127" i="11"/>
  <c r="G56" i="11"/>
  <c r="F377" i="11"/>
  <c r="F456" i="11"/>
  <c r="F376" i="11"/>
  <c r="F455" i="11"/>
  <c r="F375" i="11"/>
  <c r="F454" i="11"/>
  <c r="F378" i="11"/>
  <c r="F417" i="11"/>
  <c r="H375" i="11"/>
  <c r="H454" i="11"/>
  <c r="H378" i="11"/>
  <c r="H417" i="11"/>
  <c r="H376" i="11"/>
  <c r="H455" i="11"/>
  <c r="H377" i="11"/>
  <c r="H456" i="11"/>
  <c r="K377" i="11"/>
  <c r="K456" i="11"/>
  <c r="K376" i="11"/>
  <c r="K455" i="11"/>
  <c r="K375" i="11"/>
  <c r="K454" i="11"/>
  <c r="K378" i="11"/>
  <c r="K417" i="11"/>
  <c r="I393" i="6"/>
  <c r="I696" i="6"/>
  <c r="J374" i="11"/>
  <c r="J698" i="6"/>
  <c r="J699" i="6"/>
  <c r="K698" i="6"/>
  <c r="K699" i="6"/>
  <c r="P339" i="6"/>
  <c r="G47" i="11"/>
  <c r="G126" i="11"/>
  <c r="G49" i="11"/>
  <c r="G128" i="11"/>
  <c r="H224" i="11"/>
  <c r="H255" i="11"/>
  <c r="H694" i="6"/>
  <c r="H695" i="6"/>
  <c r="I224" i="11"/>
  <c r="I255" i="11"/>
  <c r="I694" i="6"/>
  <c r="I695" i="6"/>
  <c r="F700" i="6"/>
  <c r="H690" i="6"/>
  <c r="H691" i="6"/>
  <c r="P308" i="6"/>
  <c r="P481" i="6"/>
  <c r="P292" i="6"/>
  <c r="P276" i="6"/>
  <c r="G715" i="6"/>
  <c r="G716" i="6"/>
  <c r="G720" i="6"/>
  <c r="G238" i="11"/>
  <c r="G242" i="11"/>
  <c r="I718" i="6"/>
  <c r="I719" i="6"/>
  <c r="I402" i="11"/>
  <c r="I404" i="11"/>
  <c r="G695" i="6"/>
  <c r="G700" i="6"/>
  <c r="F185" i="5"/>
  <c r="P355" i="6"/>
  <c r="I711" i="6"/>
  <c r="I74" i="11"/>
  <c r="J418" i="6"/>
  <c r="J439" i="6"/>
  <c r="J701" i="6"/>
  <c r="K439" i="6"/>
  <c r="K440" i="6"/>
  <c r="L417" i="6"/>
  <c r="M417" i="6"/>
  <c r="M418" i="6"/>
  <c r="F211" i="11"/>
  <c r="F290" i="11"/>
  <c r="F214" i="11"/>
  <c r="F253" i="11"/>
  <c r="F213" i="11"/>
  <c r="F292" i="11"/>
  <c r="J487" i="6"/>
  <c r="J235" i="6"/>
  <c r="G229" i="11"/>
  <c r="G256" i="11"/>
  <c r="G227" i="11"/>
  <c r="G300" i="11"/>
  <c r="G226" i="11"/>
  <c r="G299" i="11"/>
  <c r="H404" i="11"/>
  <c r="P480" i="6"/>
  <c r="H405" i="11"/>
  <c r="H406" i="11"/>
  <c r="I705" i="6"/>
  <c r="I706" i="6"/>
  <c r="J627" i="6"/>
  <c r="K486" i="6"/>
  <c r="P354" i="6"/>
  <c r="G185" i="5"/>
  <c r="L392" i="6"/>
  <c r="M511" i="6"/>
  <c r="M512" i="6"/>
  <c r="P512" i="6"/>
  <c r="J314" i="6"/>
  <c r="L622" i="6"/>
  <c r="I680" i="6"/>
  <c r="I314" i="6"/>
  <c r="L534" i="6"/>
  <c r="L707" i="6"/>
  <c r="L389" i="11"/>
  <c r="M465" i="6"/>
  <c r="L704" i="6"/>
  <c r="L225" i="11"/>
  <c r="K606" i="6"/>
  <c r="K627" i="6"/>
  <c r="P307" i="6"/>
  <c r="K707" i="6"/>
  <c r="K389" i="11"/>
  <c r="K534" i="6"/>
  <c r="F32" i="13"/>
  <c r="F208" i="5"/>
  <c r="K717" i="6"/>
  <c r="K402" i="11"/>
  <c r="K675" i="6"/>
  <c r="J392" i="11"/>
  <c r="J465" i="11"/>
  <c r="J391" i="11"/>
  <c r="J464" i="11"/>
  <c r="J390" i="11"/>
  <c r="J463" i="11"/>
  <c r="J393" i="11"/>
  <c r="J420" i="11"/>
  <c r="M668" i="6"/>
  <c r="M669" i="6"/>
  <c r="L669" i="6"/>
  <c r="L674" i="6"/>
  <c r="H78" i="11"/>
  <c r="H76" i="11"/>
  <c r="H77" i="11"/>
  <c r="H75" i="11"/>
  <c r="I227" i="11"/>
  <c r="I300" i="11"/>
  <c r="I228" i="11"/>
  <c r="I301" i="11"/>
  <c r="I226" i="11"/>
  <c r="I299" i="11"/>
  <c r="I229" i="11"/>
  <c r="I256" i="11"/>
  <c r="P275" i="6"/>
  <c r="I714" i="6"/>
  <c r="I238" i="11"/>
  <c r="I628" i="6"/>
  <c r="I343" i="5"/>
  <c r="P36" i="10"/>
  <c r="M28" i="13"/>
  <c r="P291" i="6"/>
  <c r="H714" i="6"/>
  <c r="H238" i="11"/>
  <c r="H628" i="6"/>
  <c r="H684" i="6"/>
  <c r="F147" i="11"/>
  <c r="F150" i="11"/>
  <c r="F149" i="11"/>
  <c r="F152" i="11"/>
  <c r="F148" i="11"/>
  <c r="F151" i="11"/>
  <c r="J705" i="6"/>
  <c r="J706" i="6"/>
  <c r="L689" i="6"/>
  <c r="F240" i="11"/>
  <c r="F239" i="11"/>
  <c r="F241" i="11"/>
  <c r="F242" i="11"/>
  <c r="I335" i="5"/>
  <c r="P35" i="10"/>
  <c r="H705" i="6"/>
  <c r="H706" i="6"/>
  <c r="I684" i="6"/>
  <c r="F476" i="11"/>
  <c r="F475" i="11"/>
  <c r="F477" i="11"/>
  <c r="H64" i="11"/>
  <c r="H137" i="11"/>
  <c r="H62" i="11"/>
  <c r="H135" i="11"/>
  <c r="H63" i="11"/>
  <c r="H136" i="11"/>
  <c r="M433" i="6"/>
  <c r="N433" i="6"/>
  <c r="N434" i="6"/>
  <c r="L434" i="6"/>
  <c r="J718" i="6"/>
  <c r="J719" i="6"/>
  <c r="M371" i="6"/>
  <c r="M697" i="6"/>
  <c r="P370" i="6"/>
  <c r="I63" i="11"/>
  <c r="I136" i="11"/>
  <c r="I64" i="11"/>
  <c r="I137" i="11"/>
  <c r="I702" i="6"/>
  <c r="I703" i="6"/>
  <c r="I710" i="6"/>
  <c r="J711" i="6"/>
  <c r="J74" i="11"/>
  <c r="J78" i="11"/>
  <c r="N228" i="6"/>
  <c r="N10" i="13"/>
  <c r="N28" i="13"/>
  <c r="N278" i="5"/>
  <c r="N295" i="5"/>
  <c r="N301" i="5"/>
  <c r="N336" i="5"/>
  <c r="N328" i="5"/>
  <c r="N318" i="5"/>
  <c r="N260" i="5"/>
  <c r="N307" i="5"/>
  <c r="H710" i="6"/>
  <c r="H31" i="13"/>
  <c r="L196" i="6"/>
  <c r="M196" i="6"/>
  <c r="M558" i="6"/>
  <c r="N558" i="6"/>
  <c r="N559" i="6"/>
  <c r="J684" i="6"/>
  <c r="J207" i="5"/>
  <c r="M689" i="6"/>
  <c r="M51" i="11"/>
  <c r="N417" i="6"/>
  <c r="N418" i="6"/>
  <c r="N439" i="6"/>
  <c r="O180" i="6"/>
  <c r="L574" i="6"/>
  <c r="K575" i="6"/>
  <c r="K580" i="6"/>
  <c r="K711" i="6"/>
  <c r="K74" i="11"/>
  <c r="O433" i="6"/>
  <c r="O434" i="6"/>
  <c r="O212" i="6"/>
  <c r="O228" i="6"/>
  <c r="K689" i="6"/>
  <c r="L380" i="11"/>
  <c r="L457" i="11"/>
  <c r="L382" i="11"/>
  <c r="L459" i="11"/>
  <c r="L381" i="11"/>
  <c r="L458" i="11"/>
  <c r="M379" i="11"/>
  <c r="M382" i="11"/>
  <c r="M459" i="11"/>
  <c r="G163" i="5"/>
  <c r="F30" i="13"/>
  <c r="I328" i="5"/>
  <c r="H207" i="5"/>
  <c r="I207" i="5"/>
  <c r="I162" i="5"/>
  <c r="G32" i="13"/>
  <c r="F485" i="11"/>
  <c r="G486" i="11"/>
  <c r="G485" i="11"/>
  <c r="G484" i="11"/>
  <c r="I467" i="11"/>
  <c r="I470" i="11"/>
  <c r="H467" i="11"/>
  <c r="H470" i="11"/>
  <c r="H468" i="11"/>
  <c r="H471" i="11"/>
  <c r="H421" i="11"/>
  <c r="H422" i="11"/>
  <c r="F303" i="11"/>
  <c r="F306" i="11"/>
  <c r="F304" i="11"/>
  <c r="F307" i="11"/>
  <c r="F302" i="11"/>
  <c r="F305" i="11"/>
  <c r="G257" i="11"/>
  <c r="G258" i="11"/>
  <c r="F257" i="11"/>
  <c r="F258" i="11"/>
  <c r="H140" i="11"/>
  <c r="H143" i="11"/>
  <c r="H138" i="11"/>
  <c r="H141" i="11"/>
  <c r="H139" i="11"/>
  <c r="H142" i="11"/>
  <c r="H93" i="11"/>
  <c r="H94" i="11"/>
  <c r="F479" i="11"/>
  <c r="F482" i="11"/>
  <c r="H387" i="11"/>
  <c r="H462" i="11"/>
  <c r="H385" i="11"/>
  <c r="F385" i="11"/>
  <c r="F387" i="11"/>
  <c r="G428" i="11"/>
  <c r="G429" i="11"/>
  <c r="K388" i="11"/>
  <c r="K419" i="11"/>
  <c r="H388" i="11"/>
  <c r="H419" i="11"/>
  <c r="J384" i="11"/>
  <c r="J385" i="11"/>
  <c r="J460" i="11"/>
  <c r="F388" i="11"/>
  <c r="G430" i="11"/>
  <c r="F155" i="11"/>
  <c r="F161" i="11"/>
  <c r="F176" i="11"/>
  <c r="F153" i="11"/>
  <c r="F154" i="11"/>
  <c r="F100" i="11"/>
  <c r="F101" i="11"/>
  <c r="K386" i="11"/>
  <c r="K461" i="11"/>
  <c r="K385" i="11"/>
  <c r="K460" i="11"/>
  <c r="K387" i="11"/>
  <c r="K462" i="11"/>
  <c r="H222" i="11"/>
  <c r="H297" i="11"/>
  <c r="H223" i="11"/>
  <c r="H298" i="11"/>
  <c r="H221" i="11"/>
  <c r="H296" i="11"/>
  <c r="I221" i="11"/>
  <c r="I296" i="11"/>
  <c r="I222" i="11"/>
  <c r="I297" i="11"/>
  <c r="I223" i="11"/>
  <c r="I298" i="11"/>
  <c r="F222" i="11"/>
  <c r="F297" i="11"/>
  <c r="F223" i="11"/>
  <c r="F298" i="11"/>
  <c r="F221" i="11"/>
  <c r="F296" i="11"/>
  <c r="G214" i="11"/>
  <c r="G253" i="11"/>
  <c r="G224" i="11"/>
  <c r="G255" i="11"/>
  <c r="G58" i="11"/>
  <c r="G59" i="11"/>
  <c r="G57" i="11"/>
  <c r="J53" i="11"/>
  <c r="J130" i="11"/>
  <c r="J54" i="11"/>
  <c r="J131" i="11"/>
  <c r="J52" i="11"/>
  <c r="J129" i="11"/>
  <c r="L51" i="11"/>
  <c r="H48" i="11"/>
  <c r="H127" i="11"/>
  <c r="H56" i="11"/>
  <c r="J375" i="11"/>
  <c r="J454" i="11"/>
  <c r="J376" i="11"/>
  <c r="J455" i="11"/>
  <c r="J378" i="11"/>
  <c r="J417" i="11"/>
  <c r="J377" i="11"/>
  <c r="J456" i="11"/>
  <c r="I374" i="11"/>
  <c r="I698" i="6"/>
  <c r="I699" i="6"/>
  <c r="L393" i="6"/>
  <c r="L696" i="6"/>
  <c r="P697" i="6"/>
  <c r="J694" i="6"/>
  <c r="J695" i="6"/>
  <c r="H49" i="11"/>
  <c r="H128" i="11"/>
  <c r="F163" i="5"/>
  <c r="H47" i="11"/>
  <c r="H126" i="11"/>
  <c r="I690" i="6"/>
  <c r="I691" i="6"/>
  <c r="G208" i="5"/>
  <c r="K701" i="6"/>
  <c r="K61" i="11"/>
  <c r="J702" i="6"/>
  <c r="J703" i="6"/>
  <c r="J710" i="6"/>
  <c r="J61" i="11"/>
  <c r="J64" i="11"/>
  <c r="J137" i="11"/>
  <c r="F263" i="11"/>
  <c r="G263" i="11"/>
  <c r="I344" i="5"/>
  <c r="I712" i="6"/>
  <c r="I713" i="6"/>
  <c r="G30" i="13"/>
  <c r="J440" i="6"/>
  <c r="K682" i="6"/>
  <c r="J682" i="6"/>
  <c r="L418" i="6"/>
  <c r="L439" i="6"/>
  <c r="L440" i="6"/>
  <c r="H700" i="6"/>
  <c r="G211" i="11"/>
  <c r="G290" i="11"/>
  <c r="I403" i="11"/>
  <c r="I405" i="11"/>
  <c r="I406" i="11"/>
  <c r="J680" i="6"/>
  <c r="G212" i="11"/>
  <c r="G291" i="11"/>
  <c r="G213" i="11"/>
  <c r="G292" i="11"/>
  <c r="J714" i="6"/>
  <c r="J238" i="11"/>
  <c r="K487" i="6"/>
  <c r="K704" i="6"/>
  <c r="J628" i="6"/>
  <c r="L705" i="6"/>
  <c r="L706" i="6"/>
  <c r="M533" i="6"/>
  <c r="P533" i="6"/>
  <c r="G239" i="11"/>
  <c r="M622" i="6"/>
  <c r="P622" i="6"/>
  <c r="L708" i="6"/>
  <c r="L709" i="6"/>
  <c r="G240" i="11"/>
  <c r="G241" i="11"/>
  <c r="P511" i="6"/>
  <c r="P668" i="6"/>
  <c r="P465" i="6"/>
  <c r="M486" i="6"/>
  <c r="P464" i="6"/>
  <c r="K708" i="6"/>
  <c r="K709" i="6"/>
  <c r="L606" i="6"/>
  <c r="L627" i="6"/>
  <c r="L628" i="6"/>
  <c r="I213" i="11"/>
  <c r="I292" i="11"/>
  <c r="I212" i="11"/>
  <c r="I291" i="11"/>
  <c r="I211" i="11"/>
  <c r="I290" i="11"/>
  <c r="I214" i="11"/>
  <c r="I253" i="11"/>
  <c r="G475" i="11"/>
  <c r="G478" i="11"/>
  <c r="G477" i="11"/>
  <c r="G480" i="11"/>
  <c r="G476" i="11"/>
  <c r="G479" i="11"/>
  <c r="I336" i="5"/>
  <c r="P335" i="5"/>
  <c r="H715" i="6"/>
  <c r="H716" i="6"/>
  <c r="H720" i="6"/>
  <c r="I10" i="13"/>
  <c r="I260" i="5"/>
  <c r="I318" i="5"/>
  <c r="I301" i="5"/>
  <c r="I295" i="5"/>
  <c r="I278" i="5"/>
  <c r="P37" i="10"/>
  <c r="I307" i="5"/>
  <c r="L228" i="11"/>
  <c r="L301" i="11"/>
  <c r="L226" i="11"/>
  <c r="L299" i="11"/>
  <c r="L227" i="11"/>
  <c r="L300" i="11"/>
  <c r="L229" i="11"/>
  <c r="L256" i="11"/>
  <c r="K718" i="6"/>
  <c r="K719" i="6"/>
  <c r="I77" i="11"/>
  <c r="I78" i="11"/>
  <c r="I76" i="11"/>
  <c r="I75" i="11"/>
  <c r="L717" i="6"/>
  <c r="L402" i="11"/>
  <c r="L675" i="6"/>
  <c r="P669" i="6"/>
  <c r="M674" i="6"/>
  <c r="L392" i="11"/>
  <c r="L465" i="11"/>
  <c r="L391" i="11"/>
  <c r="L464" i="11"/>
  <c r="L390" i="11"/>
  <c r="L463" i="11"/>
  <c r="L393" i="11"/>
  <c r="L420" i="11"/>
  <c r="J405" i="11"/>
  <c r="J404" i="11"/>
  <c r="J403" i="11"/>
  <c r="J406" i="11"/>
  <c r="J228" i="11"/>
  <c r="J301" i="11"/>
  <c r="J226" i="11"/>
  <c r="J299" i="11"/>
  <c r="J227" i="11"/>
  <c r="J300" i="11"/>
  <c r="J229" i="11"/>
  <c r="J256" i="11"/>
  <c r="H211" i="11"/>
  <c r="H290" i="11"/>
  <c r="H212" i="11"/>
  <c r="H291" i="11"/>
  <c r="H213" i="11"/>
  <c r="H292" i="11"/>
  <c r="H214" i="11"/>
  <c r="H253" i="11"/>
  <c r="I715" i="6"/>
  <c r="I716" i="6"/>
  <c r="K714" i="6"/>
  <c r="K238" i="11"/>
  <c r="K628" i="6"/>
  <c r="P371" i="6"/>
  <c r="M392" i="6"/>
  <c r="M696" i="6"/>
  <c r="M698" i="6"/>
  <c r="M434" i="6"/>
  <c r="H228" i="11"/>
  <c r="H301" i="11"/>
  <c r="H227" i="11"/>
  <c r="H300" i="11"/>
  <c r="H226" i="11"/>
  <c r="H299" i="11"/>
  <c r="H229" i="11"/>
  <c r="H256" i="11"/>
  <c r="P343" i="5"/>
  <c r="J712" i="6"/>
  <c r="J713" i="6"/>
  <c r="M559" i="6"/>
  <c r="H185" i="5"/>
  <c r="P229" i="6"/>
  <c r="K235" i="6"/>
  <c r="O558" i="6"/>
  <c r="O559" i="6"/>
  <c r="P433" i="6"/>
  <c r="M54" i="11"/>
  <c r="M131" i="11"/>
  <c r="M53" i="11"/>
  <c r="M130" i="11"/>
  <c r="M52" i="11"/>
  <c r="M129" i="11"/>
  <c r="K712" i="6"/>
  <c r="K713" i="6"/>
  <c r="O417" i="6"/>
  <c r="O418" i="6"/>
  <c r="O439" i="6"/>
  <c r="K581" i="6"/>
  <c r="K684" i="6"/>
  <c r="K207" i="5"/>
  <c r="P180" i="6"/>
  <c r="P213" i="6"/>
  <c r="P212" i="6"/>
  <c r="N440" i="6"/>
  <c r="N701" i="6"/>
  <c r="N682" i="6"/>
  <c r="N184" i="5"/>
  <c r="N689" i="6"/>
  <c r="N51" i="11"/>
  <c r="M574" i="6"/>
  <c r="L575" i="6"/>
  <c r="L580" i="6"/>
  <c r="L711" i="6"/>
  <c r="L74" i="11"/>
  <c r="M690" i="6"/>
  <c r="N196" i="6"/>
  <c r="P228" i="6"/>
  <c r="M381" i="11"/>
  <c r="M458" i="11"/>
  <c r="P458" i="11"/>
  <c r="P379" i="11"/>
  <c r="M383" i="11"/>
  <c r="M418" i="11"/>
  <c r="P418" i="11"/>
  <c r="M380" i="11"/>
  <c r="M457" i="11"/>
  <c r="P457" i="11"/>
  <c r="K219" i="11"/>
  <c r="K254" i="11"/>
  <c r="K217" i="11"/>
  <c r="K294" i="11"/>
  <c r="K218" i="11"/>
  <c r="K295" i="11"/>
  <c r="K216" i="11"/>
  <c r="K293" i="11"/>
  <c r="J184" i="5"/>
  <c r="K184" i="5"/>
  <c r="J31" i="13"/>
  <c r="H30" i="13"/>
  <c r="I31" i="13"/>
  <c r="P328" i="5"/>
  <c r="J162" i="5"/>
  <c r="H486" i="11"/>
  <c r="H485" i="11"/>
  <c r="F321" i="11"/>
  <c r="J466" i="11"/>
  <c r="J469" i="11"/>
  <c r="J468" i="11"/>
  <c r="J471" i="11"/>
  <c r="F462" i="11"/>
  <c r="F486" i="11"/>
  <c r="I468" i="11"/>
  <c r="I471" i="11"/>
  <c r="F460" i="11"/>
  <c r="J467" i="11"/>
  <c r="J470" i="11"/>
  <c r="I466" i="11"/>
  <c r="I469" i="11"/>
  <c r="H460" i="11"/>
  <c r="H484" i="11"/>
  <c r="F320" i="11"/>
  <c r="J421" i="11"/>
  <c r="J422" i="11"/>
  <c r="I421" i="11"/>
  <c r="I422" i="11"/>
  <c r="F419" i="11"/>
  <c r="F428" i="11"/>
  <c r="F429" i="11"/>
  <c r="F322" i="11"/>
  <c r="G302" i="11"/>
  <c r="G305" i="11"/>
  <c r="G303" i="11"/>
  <c r="G306" i="11"/>
  <c r="G304" i="11"/>
  <c r="G307" i="11"/>
  <c r="I140" i="11"/>
  <c r="I143" i="11"/>
  <c r="G132" i="11"/>
  <c r="G156" i="11"/>
  <c r="G133" i="11"/>
  <c r="G157" i="11"/>
  <c r="G134" i="11"/>
  <c r="I138" i="11"/>
  <c r="I141" i="11"/>
  <c r="I139" i="11"/>
  <c r="I142" i="11"/>
  <c r="J93" i="11"/>
  <c r="J94" i="11"/>
  <c r="I93" i="11"/>
  <c r="I94" i="11"/>
  <c r="G482" i="11"/>
  <c r="G488" i="11"/>
  <c r="G503" i="11"/>
  <c r="G483" i="11"/>
  <c r="G489" i="11"/>
  <c r="G504" i="11"/>
  <c r="G481" i="11"/>
  <c r="G487" i="11"/>
  <c r="G502" i="11"/>
  <c r="P459" i="11"/>
  <c r="G431" i="11"/>
  <c r="J387" i="11"/>
  <c r="J462" i="11"/>
  <c r="J386" i="11"/>
  <c r="J461" i="11"/>
  <c r="I384" i="11"/>
  <c r="I387" i="11"/>
  <c r="I462" i="11"/>
  <c r="J388" i="11"/>
  <c r="J419" i="11"/>
  <c r="J427" i="11"/>
  <c r="J475" i="11"/>
  <c r="P382" i="11"/>
  <c r="F266" i="11"/>
  <c r="F264" i="11"/>
  <c r="F265" i="11"/>
  <c r="G266" i="11"/>
  <c r="F159" i="11"/>
  <c r="F174" i="11"/>
  <c r="F160" i="11"/>
  <c r="F175" i="11"/>
  <c r="F103" i="11"/>
  <c r="J213" i="11"/>
  <c r="J292" i="11"/>
  <c r="J224" i="11"/>
  <c r="J255" i="11"/>
  <c r="G222" i="11"/>
  <c r="G297" i="11"/>
  <c r="G223" i="11"/>
  <c r="G298" i="11"/>
  <c r="G221" i="11"/>
  <c r="G296" i="11"/>
  <c r="H57" i="11"/>
  <c r="H58" i="11"/>
  <c r="H59" i="11"/>
  <c r="L52" i="11"/>
  <c r="L129" i="11"/>
  <c r="L53" i="11"/>
  <c r="L130" i="11"/>
  <c r="L54" i="11"/>
  <c r="L131" i="11"/>
  <c r="F488" i="11"/>
  <c r="F503" i="11"/>
  <c r="I47" i="11"/>
  <c r="I126" i="11"/>
  <c r="I56" i="11"/>
  <c r="K51" i="11"/>
  <c r="L374" i="11"/>
  <c r="L698" i="6"/>
  <c r="L699" i="6"/>
  <c r="M374" i="11"/>
  <c r="P696" i="6"/>
  <c r="I378" i="11"/>
  <c r="I417" i="11"/>
  <c r="I377" i="11"/>
  <c r="I456" i="11"/>
  <c r="I375" i="11"/>
  <c r="I454" i="11"/>
  <c r="I376" i="11"/>
  <c r="I455" i="11"/>
  <c r="I700" i="6"/>
  <c r="K680" i="6"/>
  <c r="J214" i="11"/>
  <c r="J253" i="11"/>
  <c r="K314" i="6"/>
  <c r="J212" i="11"/>
  <c r="J291" i="11"/>
  <c r="J211" i="11"/>
  <c r="J290" i="11"/>
  <c r="M699" i="6"/>
  <c r="K224" i="11"/>
  <c r="K255" i="11"/>
  <c r="K694" i="6"/>
  <c r="K695" i="6"/>
  <c r="L680" i="6"/>
  <c r="I49" i="11"/>
  <c r="I128" i="11"/>
  <c r="I48" i="11"/>
  <c r="I127" i="11"/>
  <c r="K690" i="6"/>
  <c r="K691" i="6"/>
  <c r="J690" i="6"/>
  <c r="J691" i="6"/>
  <c r="J700" i="6"/>
  <c r="H430" i="11"/>
  <c r="H427" i="11"/>
  <c r="H428" i="11"/>
  <c r="J77" i="11"/>
  <c r="K702" i="6"/>
  <c r="K703" i="6"/>
  <c r="J75" i="11"/>
  <c r="K225" i="11"/>
  <c r="K228" i="11"/>
  <c r="K301" i="11"/>
  <c r="P344" i="5"/>
  <c r="J76" i="11"/>
  <c r="I720" i="6"/>
  <c r="H163" i="5"/>
  <c r="F313" i="11"/>
  <c r="I185" i="5"/>
  <c r="F312" i="11"/>
  <c r="F311" i="11"/>
  <c r="J715" i="6"/>
  <c r="J716" i="6"/>
  <c r="K705" i="6"/>
  <c r="K706" i="6"/>
  <c r="J63" i="11"/>
  <c r="J136" i="11"/>
  <c r="J62" i="11"/>
  <c r="J135" i="11"/>
  <c r="L682" i="6"/>
  <c r="L701" i="6"/>
  <c r="L61" i="11"/>
  <c r="M534" i="6"/>
  <c r="P534" i="6"/>
  <c r="M707" i="6"/>
  <c r="P621" i="6"/>
  <c r="L714" i="6"/>
  <c r="L238" i="11"/>
  <c r="K391" i="11"/>
  <c r="K464" i="11"/>
  <c r="K390" i="11"/>
  <c r="K463" i="11"/>
  <c r="K393" i="11"/>
  <c r="K420" i="11"/>
  <c r="K392" i="11"/>
  <c r="K465" i="11"/>
  <c r="M606" i="6"/>
  <c r="J185" i="5"/>
  <c r="M704" i="6"/>
  <c r="M225" i="11"/>
  <c r="M487" i="6"/>
  <c r="P487" i="6"/>
  <c r="P486" i="6"/>
  <c r="F179" i="11"/>
  <c r="H32" i="13"/>
  <c r="H208" i="5"/>
  <c r="M393" i="6"/>
  <c r="P393" i="6"/>
  <c r="P392" i="6"/>
  <c r="M717" i="6"/>
  <c r="M402" i="11"/>
  <c r="M675" i="6"/>
  <c r="P675" i="6"/>
  <c r="P674" i="6"/>
  <c r="I241" i="11"/>
  <c r="I239" i="11"/>
  <c r="I240" i="11"/>
  <c r="I242" i="11"/>
  <c r="H241" i="11"/>
  <c r="H240" i="11"/>
  <c r="H239" i="11"/>
  <c r="H242" i="11"/>
  <c r="J241" i="11"/>
  <c r="J240" i="11"/>
  <c r="J239" i="11"/>
  <c r="J242" i="11"/>
  <c r="K64" i="11"/>
  <c r="K137" i="11"/>
  <c r="K62" i="11"/>
  <c r="K135" i="11"/>
  <c r="K63" i="11"/>
  <c r="K136" i="11"/>
  <c r="P10" i="5"/>
  <c r="P259" i="6"/>
  <c r="K78" i="11"/>
  <c r="K77" i="11"/>
  <c r="K75" i="11"/>
  <c r="K76" i="11"/>
  <c r="P260" i="5"/>
  <c r="P318" i="5"/>
  <c r="P278" i="5"/>
  <c r="P301" i="5"/>
  <c r="P295" i="5"/>
  <c r="P307" i="5"/>
  <c r="P434" i="6"/>
  <c r="M439" i="6"/>
  <c r="K715" i="6"/>
  <c r="K716" i="6"/>
  <c r="L718" i="6"/>
  <c r="L719" i="6"/>
  <c r="G311" i="11"/>
  <c r="G313" i="11"/>
  <c r="G312" i="11"/>
  <c r="K405" i="11"/>
  <c r="K404" i="11"/>
  <c r="K403" i="11"/>
  <c r="K406" i="11"/>
  <c r="I28" i="13"/>
  <c r="P28" i="13"/>
  <c r="P10" i="13"/>
  <c r="G264" i="11"/>
  <c r="G265" i="11"/>
  <c r="P336" i="5"/>
  <c r="P559" i="6"/>
  <c r="J720" i="6"/>
  <c r="J32" i="13"/>
  <c r="L235" i="6"/>
  <c r="K720" i="6"/>
  <c r="K32" i="13"/>
  <c r="P558" i="6"/>
  <c r="P418" i="6"/>
  <c r="L712" i="6"/>
  <c r="L713" i="6"/>
  <c r="M235" i="6"/>
  <c r="P417" i="6"/>
  <c r="L581" i="6"/>
  <c r="O196" i="6"/>
  <c r="N702" i="6"/>
  <c r="N703" i="6"/>
  <c r="N710" i="6"/>
  <c r="N61" i="11"/>
  <c r="N574" i="6"/>
  <c r="M575" i="6"/>
  <c r="L684" i="6"/>
  <c r="L207" i="5"/>
  <c r="O682" i="6"/>
  <c r="O184" i="5"/>
  <c r="O701" i="6"/>
  <c r="O440" i="6"/>
  <c r="N52" i="11"/>
  <c r="N129" i="11"/>
  <c r="N54" i="11"/>
  <c r="N131" i="11"/>
  <c r="N53" i="11"/>
  <c r="N130" i="11"/>
  <c r="O689" i="6"/>
  <c r="P181" i="6"/>
  <c r="P381" i="11"/>
  <c r="P383" i="11"/>
  <c r="P380" i="11"/>
  <c r="L217" i="11"/>
  <c r="L294" i="11"/>
  <c r="L218" i="11"/>
  <c r="L295" i="11"/>
  <c r="L219" i="11"/>
  <c r="L254" i="11"/>
  <c r="L216" i="11"/>
  <c r="L293" i="11"/>
  <c r="G445" i="11"/>
  <c r="G446" i="11"/>
  <c r="F117" i="11"/>
  <c r="F118" i="11"/>
  <c r="L162" i="5"/>
  <c r="K162" i="5"/>
  <c r="I208" i="5"/>
  <c r="J163" i="5"/>
  <c r="I163" i="5"/>
  <c r="L184" i="5"/>
  <c r="J484" i="11"/>
  <c r="J486" i="11"/>
  <c r="I486" i="11"/>
  <c r="J485" i="11"/>
  <c r="F478" i="11"/>
  <c r="F481" i="11"/>
  <c r="F484" i="11"/>
  <c r="F480" i="11"/>
  <c r="F483" i="11"/>
  <c r="K467" i="11"/>
  <c r="K470" i="11"/>
  <c r="K468" i="11"/>
  <c r="K471" i="11"/>
  <c r="K466" i="11"/>
  <c r="K469" i="11"/>
  <c r="K421" i="11"/>
  <c r="K422" i="11"/>
  <c r="F430" i="11"/>
  <c r="F431" i="11"/>
  <c r="G320" i="11"/>
  <c r="G322" i="11"/>
  <c r="G321" i="11"/>
  <c r="J302" i="11"/>
  <c r="J305" i="11"/>
  <c r="J303" i="11"/>
  <c r="J306" i="11"/>
  <c r="H302" i="11"/>
  <c r="H305" i="11"/>
  <c r="H303" i="11"/>
  <c r="H306" i="11"/>
  <c r="I303" i="11"/>
  <c r="I306" i="11"/>
  <c r="I304" i="11"/>
  <c r="I307" i="11"/>
  <c r="J304" i="11"/>
  <c r="J307" i="11"/>
  <c r="H304" i="11"/>
  <c r="H307" i="11"/>
  <c r="I302" i="11"/>
  <c r="I305" i="11"/>
  <c r="H257" i="11"/>
  <c r="H258" i="11"/>
  <c r="I257" i="11"/>
  <c r="I258" i="11"/>
  <c r="J257" i="11"/>
  <c r="J258" i="11"/>
  <c r="G158" i="11"/>
  <c r="J138" i="11"/>
  <c r="J141" i="11"/>
  <c r="J139" i="11"/>
  <c r="J142" i="11"/>
  <c r="J140" i="11"/>
  <c r="J143" i="11"/>
  <c r="H134" i="11"/>
  <c r="H133" i="11"/>
  <c r="H157" i="11"/>
  <c r="K138" i="11"/>
  <c r="K141" i="11"/>
  <c r="K140" i="11"/>
  <c r="K143" i="11"/>
  <c r="K139" i="11"/>
  <c r="K142" i="11"/>
  <c r="H132" i="11"/>
  <c r="H156" i="11"/>
  <c r="K93" i="11"/>
  <c r="K94" i="11"/>
  <c r="J478" i="11"/>
  <c r="J481" i="11"/>
  <c r="G424" i="5"/>
  <c r="I386" i="11"/>
  <c r="J430" i="11"/>
  <c r="I385" i="11"/>
  <c r="L384" i="11"/>
  <c r="L385" i="11"/>
  <c r="L460" i="11"/>
  <c r="I388" i="11"/>
  <c r="M384" i="11"/>
  <c r="M387" i="11"/>
  <c r="M462" i="11"/>
  <c r="J477" i="11"/>
  <c r="J476" i="11"/>
  <c r="J428" i="11"/>
  <c r="J429" i="11"/>
  <c r="F315" i="11"/>
  <c r="F318" i="11"/>
  <c r="F316" i="11"/>
  <c r="F319" i="11"/>
  <c r="F325" i="11"/>
  <c r="F340" i="11"/>
  <c r="F314" i="11"/>
  <c r="F317" i="11"/>
  <c r="F267" i="11"/>
  <c r="H263" i="11"/>
  <c r="H312" i="11"/>
  <c r="F422" i="5"/>
  <c r="F177" i="11"/>
  <c r="F180" i="11"/>
  <c r="F9" i="11"/>
  <c r="F178" i="11"/>
  <c r="F181" i="11"/>
  <c r="F10" i="11"/>
  <c r="K223" i="11"/>
  <c r="K298" i="11"/>
  <c r="K221" i="11"/>
  <c r="K296" i="11"/>
  <c r="K222" i="11"/>
  <c r="K297" i="11"/>
  <c r="J223" i="11"/>
  <c r="J298" i="11"/>
  <c r="J221" i="11"/>
  <c r="J296" i="11"/>
  <c r="J222" i="11"/>
  <c r="J297" i="11"/>
  <c r="F506" i="11"/>
  <c r="F509" i="11"/>
  <c r="F16" i="11"/>
  <c r="I57" i="11"/>
  <c r="I58" i="11"/>
  <c r="I59" i="11"/>
  <c r="K53" i="11"/>
  <c r="K130" i="11"/>
  <c r="K54" i="11"/>
  <c r="K131" i="11"/>
  <c r="K52" i="11"/>
  <c r="K129" i="11"/>
  <c r="K56" i="11"/>
  <c r="J47" i="11"/>
  <c r="J126" i="11"/>
  <c r="J56" i="11"/>
  <c r="P698" i="6"/>
  <c r="P374" i="11"/>
  <c r="I30" i="13"/>
  <c r="P699" i="6"/>
  <c r="M377" i="11"/>
  <c r="M456" i="11"/>
  <c r="M376" i="11"/>
  <c r="M455" i="11"/>
  <c r="M375" i="11"/>
  <c r="M454" i="11"/>
  <c r="M378" i="11"/>
  <c r="M417" i="11"/>
  <c r="L375" i="11"/>
  <c r="L454" i="11"/>
  <c r="L378" i="11"/>
  <c r="L417" i="11"/>
  <c r="L377" i="11"/>
  <c r="L456" i="11"/>
  <c r="L376" i="11"/>
  <c r="L455" i="11"/>
  <c r="L224" i="11"/>
  <c r="L255" i="11"/>
  <c r="L314" i="6"/>
  <c r="J49" i="11"/>
  <c r="J128" i="11"/>
  <c r="J48" i="11"/>
  <c r="J127" i="11"/>
  <c r="L690" i="6"/>
  <c r="L691" i="6"/>
  <c r="K427" i="11"/>
  <c r="I427" i="11"/>
  <c r="K710" i="6"/>
  <c r="K229" i="11"/>
  <c r="K256" i="11"/>
  <c r="K226" i="11"/>
  <c r="K299" i="11"/>
  <c r="I263" i="11"/>
  <c r="I313" i="11"/>
  <c r="K227" i="11"/>
  <c r="K300" i="11"/>
  <c r="J263" i="11"/>
  <c r="J311" i="11"/>
  <c r="P707" i="6"/>
  <c r="M389" i="11"/>
  <c r="M393" i="11"/>
  <c r="M420" i="11"/>
  <c r="H475" i="11"/>
  <c r="H478" i="11"/>
  <c r="H477" i="11"/>
  <c r="H480" i="11"/>
  <c r="H476" i="11"/>
  <c r="H479" i="11"/>
  <c r="I32" i="13"/>
  <c r="L702" i="6"/>
  <c r="L703" i="6"/>
  <c r="L710" i="6"/>
  <c r="M708" i="6"/>
  <c r="M709" i="6"/>
  <c r="P709" i="6"/>
  <c r="P605" i="6"/>
  <c r="J30" i="13"/>
  <c r="L715" i="6"/>
  <c r="L716" i="6"/>
  <c r="P606" i="6"/>
  <c r="M627" i="6"/>
  <c r="K700" i="6"/>
  <c r="M705" i="6"/>
  <c r="P705" i="6"/>
  <c r="P704" i="6"/>
  <c r="G507" i="11"/>
  <c r="G510" i="11"/>
  <c r="G17" i="11"/>
  <c r="G506" i="11"/>
  <c r="G509" i="11"/>
  <c r="G16" i="11"/>
  <c r="G505" i="11"/>
  <c r="G508" i="11"/>
  <c r="G15" i="11"/>
  <c r="F182" i="11"/>
  <c r="F11" i="11"/>
  <c r="G267" i="11"/>
  <c r="K241" i="11"/>
  <c r="K240" i="11"/>
  <c r="K239" i="11"/>
  <c r="K242" i="11"/>
  <c r="M682" i="6"/>
  <c r="M440" i="6"/>
  <c r="P439" i="6"/>
  <c r="M701" i="6"/>
  <c r="M61" i="11"/>
  <c r="K48" i="11"/>
  <c r="K127" i="11"/>
  <c r="K49" i="11"/>
  <c r="K128" i="11"/>
  <c r="K47" i="11"/>
  <c r="K126" i="11"/>
  <c r="L405" i="11"/>
  <c r="L404" i="11"/>
  <c r="L403" i="11"/>
  <c r="L406" i="11"/>
  <c r="L64" i="11"/>
  <c r="L137" i="11"/>
  <c r="L63" i="11"/>
  <c r="L136" i="11"/>
  <c r="L62" i="11"/>
  <c r="L135" i="11"/>
  <c r="L78" i="11"/>
  <c r="L77" i="11"/>
  <c r="L76" i="11"/>
  <c r="L75" i="11"/>
  <c r="L241" i="11"/>
  <c r="L239" i="11"/>
  <c r="L240" i="11"/>
  <c r="L242" i="11"/>
  <c r="K213" i="11"/>
  <c r="K292" i="11"/>
  <c r="K212" i="11"/>
  <c r="K291" i="11"/>
  <c r="K211" i="11"/>
  <c r="K290" i="11"/>
  <c r="K214" i="11"/>
  <c r="K253" i="11"/>
  <c r="P260" i="6"/>
  <c r="M718" i="6"/>
  <c r="P718" i="6"/>
  <c r="P717" i="6"/>
  <c r="J208" i="5"/>
  <c r="K208" i="5"/>
  <c r="P197" i="6"/>
  <c r="L720" i="6"/>
  <c r="L208" i="5"/>
  <c r="P682" i="6"/>
  <c r="P440" i="6"/>
  <c r="N185" i="5"/>
  <c r="N31" i="13"/>
  <c r="N575" i="6"/>
  <c r="N580" i="6"/>
  <c r="O574" i="6"/>
  <c r="O575" i="6"/>
  <c r="O580" i="6"/>
  <c r="N64" i="11"/>
  <c r="N137" i="11"/>
  <c r="N63" i="11"/>
  <c r="N136" i="11"/>
  <c r="N62" i="11"/>
  <c r="N135" i="11"/>
  <c r="O61" i="11"/>
  <c r="O702" i="6"/>
  <c r="O703" i="6"/>
  <c r="O710" i="6"/>
  <c r="O51" i="11"/>
  <c r="P689" i="6"/>
  <c r="N235" i="6"/>
  <c r="N680" i="6"/>
  <c r="N162" i="5"/>
  <c r="P196" i="6"/>
  <c r="M580" i="6"/>
  <c r="M684" i="6"/>
  <c r="M207" i="5"/>
  <c r="P693" i="6"/>
  <c r="M219" i="11"/>
  <c r="M254" i="11"/>
  <c r="P254" i="11"/>
  <c r="P215" i="11"/>
  <c r="M218" i="11"/>
  <c r="M295" i="11"/>
  <c r="P295" i="11"/>
  <c r="M217" i="11"/>
  <c r="M294" i="11"/>
  <c r="P294" i="11"/>
  <c r="M216" i="11"/>
  <c r="M293" i="11"/>
  <c r="P293" i="11"/>
  <c r="F445" i="11"/>
  <c r="F446" i="11"/>
  <c r="F281" i="11"/>
  <c r="F282" i="11"/>
  <c r="G281" i="11"/>
  <c r="G282" i="11"/>
  <c r="K30" i="13"/>
  <c r="F119" i="11"/>
  <c r="F120" i="11"/>
  <c r="F121" i="11"/>
  <c r="G447" i="11"/>
  <c r="G448" i="11"/>
  <c r="G449" i="11"/>
  <c r="K31" i="13"/>
  <c r="L185" i="5"/>
  <c r="K485" i="11"/>
  <c r="K486" i="11"/>
  <c r="F487" i="11"/>
  <c r="F502" i="11"/>
  <c r="K484" i="11"/>
  <c r="F489" i="11"/>
  <c r="F504" i="11"/>
  <c r="P417" i="11"/>
  <c r="L468" i="11"/>
  <c r="L471" i="11"/>
  <c r="J321" i="11"/>
  <c r="L466" i="11"/>
  <c r="L469" i="11"/>
  <c r="L467" i="11"/>
  <c r="L470" i="11"/>
  <c r="I460" i="11"/>
  <c r="I484" i="11"/>
  <c r="I461" i="11"/>
  <c r="I485" i="11"/>
  <c r="H322" i="11"/>
  <c r="H321" i="11"/>
  <c r="I419" i="11"/>
  <c r="I430" i="11"/>
  <c r="L421" i="11"/>
  <c r="L422" i="11"/>
  <c r="J320" i="11"/>
  <c r="J322" i="11"/>
  <c r="H320" i="11"/>
  <c r="I322" i="11"/>
  <c r="I321" i="11"/>
  <c r="I320" i="11"/>
  <c r="L303" i="11"/>
  <c r="L306" i="11"/>
  <c r="K304" i="11"/>
  <c r="K307" i="11"/>
  <c r="L304" i="11"/>
  <c r="L307" i="11"/>
  <c r="K303" i="11"/>
  <c r="K306" i="11"/>
  <c r="L302" i="11"/>
  <c r="L305" i="11"/>
  <c r="K302" i="11"/>
  <c r="K305" i="11"/>
  <c r="K257" i="11"/>
  <c r="K258" i="11"/>
  <c r="L257" i="11"/>
  <c r="L258" i="11"/>
  <c r="H158" i="11"/>
  <c r="I134" i="11"/>
  <c r="I158" i="11"/>
  <c r="L138" i="11"/>
  <c r="L141" i="11"/>
  <c r="L139" i="11"/>
  <c r="L142" i="11"/>
  <c r="I133" i="11"/>
  <c r="I157" i="11"/>
  <c r="L140" i="11"/>
  <c r="L143" i="11"/>
  <c r="I132" i="11"/>
  <c r="L93" i="11"/>
  <c r="L94" i="11"/>
  <c r="J480" i="11"/>
  <c r="J483" i="11"/>
  <c r="J479" i="11"/>
  <c r="J482" i="11"/>
  <c r="K430" i="11"/>
  <c r="J487" i="11"/>
  <c r="J502" i="11"/>
  <c r="P454" i="11"/>
  <c r="P455" i="11"/>
  <c r="P456" i="11"/>
  <c r="L386" i="11"/>
  <c r="L461" i="11"/>
  <c r="L387" i="11"/>
  <c r="L462" i="11"/>
  <c r="M385" i="11"/>
  <c r="M460" i="11"/>
  <c r="M386" i="11"/>
  <c r="M461" i="11"/>
  <c r="M388" i="11"/>
  <c r="M419" i="11"/>
  <c r="L388" i="11"/>
  <c r="L419" i="11"/>
  <c r="J431" i="11"/>
  <c r="F424" i="5"/>
  <c r="G315" i="11"/>
  <c r="G318" i="11"/>
  <c r="F423" i="5"/>
  <c r="F324" i="11"/>
  <c r="F339" i="11"/>
  <c r="F323" i="11"/>
  <c r="F338" i="11"/>
  <c r="G316" i="11"/>
  <c r="G319" i="11"/>
  <c r="H315" i="11"/>
  <c r="H318" i="11"/>
  <c r="G314" i="11"/>
  <c r="I316" i="11"/>
  <c r="I266" i="11"/>
  <c r="J266" i="11"/>
  <c r="H264" i="11"/>
  <c r="H265" i="11"/>
  <c r="H266" i="11"/>
  <c r="H313" i="11"/>
  <c r="H311" i="11"/>
  <c r="L223" i="11"/>
  <c r="L298" i="11"/>
  <c r="L221" i="11"/>
  <c r="L296" i="11"/>
  <c r="L222" i="11"/>
  <c r="L297" i="11"/>
  <c r="J57" i="11"/>
  <c r="J58" i="11"/>
  <c r="J59" i="11"/>
  <c r="K59" i="11"/>
  <c r="K57" i="11"/>
  <c r="K58" i="11"/>
  <c r="M47" i="11"/>
  <c r="M126" i="11"/>
  <c r="M56" i="11"/>
  <c r="L47" i="11"/>
  <c r="L126" i="11"/>
  <c r="L56" i="11"/>
  <c r="P378" i="11"/>
  <c r="P375" i="11"/>
  <c r="P376" i="11"/>
  <c r="P377" i="11"/>
  <c r="L694" i="6"/>
  <c r="L695" i="6"/>
  <c r="L700" i="6"/>
  <c r="L48" i="11"/>
  <c r="L127" i="11"/>
  <c r="L49" i="11"/>
  <c r="L128" i="11"/>
  <c r="L427" i="11"/>
  <c r="K428" i="11"/>
  <c r="K429" i="11"/>
  <c r="K185" i="5"/>
  <c r="I312" i="11"/>
  <c r="I315" i="11"/>
  <c r="I311" i="11"/>
  <c r="I314" i="11"/>
  <c r="I264" i="11"/>
  <c r="I265" i="11"/>
  <c r="F343" i="11"/>
  <c r="I477" i="11"/>
  <c r="I480" i="11"/>
  <c r="I476" i="11"/>
  <c r="I475" i="11"/>
  <c r="H429" i="11"/>
  <c r="H431" i="11"/>
  <c r="H482" i="11"/>
  <c r="H488" i="11"/>
  <c r="H503" i="11"/>
  <c r="H483" i="11"/>
  <c r="H489" i="11"/>
  <c r="H504" i="11"/>
  <c r="J312" i="11"/>
  <c r="H481" i="11"/>
  <c r="H487" i="11"/>
  <c r="H502" i="11"/>
  <c r="K263" i="11"/>
  <c r="M691" i="6"/>
  <c r="J313" i="11"/>
  <c r="J264" i="11"/>
  <c r="J265" i="11"/>
  <c r="M48" i="11"/>
  <c r="M127" i="11"/>
  <c r="M49" i="11"/>
  <c r="M128" i="11"/>
  <c r="L31" i="13"/>
  <c r="P708" i="6"/>
  <c r="P389" i="11"/>
  <c r="M390" i="11"/>
  <c r="M391" i="11"/>
  <c r="M392" i="11"/>
  <c r="K163" i="5"/>
  <c r="M706" i="6"/>
  <c r="P706" i="6"/>
  <c r="M719" i="6"/>
  <c r="P719" i="6"/>
  <c r="P225" i="11"/>
  <c r="M229" i="11"/>
  <c r="M256" i="11"/>
  <c r="M228" i="11"/>
  <c r="M301" i="11"/>
  <c r="M226" i="11"/>
  <c r="M299" i="11"/>
  <c r="M227" i="11"/>
  <c r="M300" i="11"/>
  <c r="P627" i="6"/>
  <c r="M714" i="6"/>
  <c r="M238" i="11"/>
  <c r="M628" i="6"/>
  <c r="P628" i="6"/>
  <c r="P420" i="11"/>
  <c r="P393" i="11"/>
  <c r="G423" i="5"/>
  <c r="M405" i="11"/>
  <c r="M404" i="11"/>
  <c r="M403" i="11"/>
  <c r="M406" i="11"/>
  <c r="P402" i="11"/>
  <c r="M184" i="5"/>
  <c r="P184" i="5"/>
  <c r="P313" i="6"/>
  <c r="M314" i="6"/>
  <c r="P314" i="6"/>
  <c r="M680" i="6"/>
  <c r="K475" i="11"/>
  <c r="K477" i="11"/>
  <c r="K476" i="11"/>
  <c r="M702" i="6"/>
  <c r="P701" i="6"/>
  <c r="L212" i="11"/>
  <c r="L291" i="11"/>
  <c r="L213" i="11"/>
  <c r="L292" i="11"/>
  <c r="L211" i="11"/>
  <c r="L290" i="11"/>
  <c r="L214" i="11"/>
  <c r="L253" i="11"/>
  <c r="L32" i="13"/>
  <c r="P702" i="6"/>
  <c r="P574" i="6"/>
  <c r="M711" i="6"/>
  <c r="M581" i="6"/>
  <c r="P575" i="6"/>
  <c r="O54" i="11"/>
  <c r="O52" i="11"/>
  <c r="O53" i="11"/>
  <c r="P51" i="11"/>
  <c r="O31" i="13"/>
  <c r="O185" i="5"/>
  <c r="O711" i="6"/>
  <c r="O581" i="6"/>
  <c r="O684" i="6"/>
  <c r="O207" i="5"/>
  <c r="P580" i="6"/>
  <c r="O63" i="11"/>
  <c r="O136" i="11"/>
  <c r="O62" i="11"/>
  <c r="O135" i="11"/>
  <c r="O64" i="11"/>
  <c r="O137" i="11"/>
  <c r="N684" i="6"/>
  <c r="N207" i="5"/>
  <c r="N711" i="6"/>
  <c r="N581" i="6"/>
  <c r="O235" i="6"/>
  <c r="P235" i="6"/>
  <c r="O680" i="6"/>
  <c r="O162" i="5"/>
  <c r="P234" i="6"/>
  <c r="N690" i="6"/>
  <c r="N691" i="6"/>
  <c r="N700" i="6"/>
  <c r="F122" i="11"/>
  <c r="P216" i="11"/>
  <c r="P218" i="11"/>
  <c r="P217" i="11"/>
  <c r="G450" i="11"/>
  <c r="J445" i="11"/>
  <c r="J446" i="11"/>
  <c r="H445" i="11"/>
  <c r="H446" i="11"/>
  <c r="F341" i="11"/>
  <c r="F344" i="11"/>
  <c r="F12" i="11"/>
  <c r="F342" i="11"/>
  <c r="F25" i="13"/>
  <c r="F283" i="11"/>
  <c r="F284" i="11"/>
  <c r="F286" i="11"/>
  <c r="F447" i="11"/>
  <c r="F448" i="11"/>
  <c r="F449" i="11"/>
  <c r="L163" i="5"/>
  <c r="F507" i="11"/>
  <c r="F510" i="11"/>
  <c r="F17" i="11"/>
  <c r="L484" i="11"/>
  <c r="L485" i="11"/>
  <c r="I478" i="11"/>
  <c r="I481" i="11"/>
  <c r="I487" i="11"/>
  <c r="I502" i="11"/>
  <c r="L486" i="11"/>
  <c r="F505" i="11"/>
  <c r="M466" i="11"/>
  <c r="P466" i="11"/>
  <c r="M469" i="11"/>
  <c r="P469" i="11"/>
  <c r="M467" i="11"/>
  <c r="P467" i="11"/>
  <c r="M470" i="11"/>
  <c r="P470" i="11"/>
  <c r="I479" i="11"/>
  <c r="I482" i="11"/>
  <c r="I488" i="11"/>
  <c r="I503" i="11"/>
  <c r="I428" i="11"/>
  <c r="I429" i="11"/>
  <c r="I431" i="11"/>
  <c r="M468" i="11"/>
  <c r="P468" i="11"/>
  <c r="M471" i="11"/>
  <c r="P471" i="11"/>
  <c r="K320" i="11"/>
  <c r="M421" i="11"/>
  <c r="M422" i="11"/>
  <c r="P422" i="11"/>
  <c r="P419" i="11"/>
  <c r="K322" i="11"/>
  <c r="L320" i="11"/>
  <c r="L322" i="11"/>
  <c r="K321" i="11"/>
  <c r="L321" i="11"/>
  <c r="I156" i="11"/>
  <c r="J132" i="11"/>
  <c r="J156" i="11"/>
  <c r="K133" i="11"/>
  <c r="K157" i="11"/>
  <c r="K132" i="11"/>
  <c r="K156" i="11"/>
  <c r="K134" i="11"/>
  <c r="K158" i="11"/>
  <c r="J133" i="11"/>
  <c r="J157" i="11"/>
  <c r="J134" i="11"/>
  <c r="J158" i="11"/>
  <c r="J505" i="11"/>
  <c r="J508" i="11"/>
  <c r="J15" i="11"/>
  <c r="K479" i="11"/>
  <c r="K480" i="11"/>
  <c r="K483" i="11"/>
  <c r="K478" i="11"/>
  <c r="K481" i="11"/>
  <c r="K487" i="11"/>
  <c r="K502" i="11"/>
  <c r="J488" i="11"/>
  <c r="J503" i="11"/>
  <c r="J489" i="11"/>
  <c r="J504" i="11"/>
  <c r="P387" i="11"/>
  <c r="P386" i="11"/>
  <c r="P385" i="11"/>
  <c r="P388" i="11"/>
  <c r="J424" i="5"/>
  <c r="L430" i="11"/>
  <c r="I319" i="11"/>
  <c r="I325" i="11"/>
  <c r="I340" i="11"/>
  <c r="J314" i="11"/>
  <c r="J317" i="11"/>
  <c r="H314" i="11"/>
  <c r="H317" i="11"/>
  <c r="I318" i="11"/>
  <c r="I324" i="11"/>
  <c r="I339" i="11"/>
  <c r="J315" i="11"/>
  <c r="J318" i="11"/>
  <c r="I317" i="11"/>
  <c r="I323" i="11"/>
  <c r="I338" i="11"/>
  <c r="H316" i="11"/>
  <c r="H319" i="11"/>
  <c r="H325" i="11"/>
  <c r="H340" i="11"/>
  <c r="J316" i="11"/>
  <c r="J319" i="11"/>
  <c r="J325" i="11"/>
  <c r="J340" i="11"/>
  <c r="H324" i="11"/>
  <c r="H339" i="11"/>
  <c r="G325" i="11"/>
  <c r="G340" i="11"/>
  <c r="G324" i="11"/>
  <c r="G339" i="11"/>
  <c r="G317" i="11"/>
  <c r="G323" i="11"/>
  <c r="G338" i="11"/>
  <c r="H267" i="11"/>
  <c r="K266" i="11"/>
  <c r="K264" i="11"/>
  <c r="K265" i="11"/>
  <c r="H122" i="11"/>
  <c r="G122" i="11"/>
  <c r="L59" i="11"/>
  <c r="L58" i="11"/>
  <c r="L57" i="11"/>
  <c r="M59" i="11"/>
  <c r="M134" i="11"/>
  <c r="M57" i="11"/>
  <c r="M132" i="11"/>
  <c r="M58" i="11"/>
  <c r="M133" i="11"/>
  <c r="M224" i="11"/>
  <c r="M255" i="11"/>
  <c r="P255" i="11"/>
  <c r="M694" i="6"/>
  <c r="P694" i="6"/>
  <c r="M427" i="11"/>
  <c r="K431" i="11"/>
  <c r="L428" i="11"/>
  <c r="L429" i="11"/>
  <c r="J267" i="11"/>
  <c r="I267" i="11"/>
  <c r="F346" i="11"/>
  <c r="F14" i="11"/>
  <c r="H506" i="11"/>
  <c r="H509" i="11"/>
  <c r="H16" i="11"/>
  <c r="H424" i="5"/>
  <c r="H505" i="11"/>
  <c r="H508" i="11"/>
  <c r="H15" i="11"/>
  <c r="L266" i="11"/>
  <c r="L263" i="11"/>
  <c r="M464" i="11"/>
  <c r="H507" i="11"/>
  <c r="H510" i="11"/>
  <c r="H17" i="11"/>
  <c r="P392" i="11"/>
  <c r="M465" i="11"/>
  <c r="P390" i="11"/>
  <c r="M463" i="11"/>
  <c r="I483" i="11"/>
  <c r="I489" i="11"/>
  <c r="I504" i="11"/>
  <c r="L30" i="13"/>
  <c r="P391" i="11"/>
  <c r="G283" i="11"/>
  <c r="G284" i="11"/>
  <c r="G286" i="11"/>
  <c r="P300" i="11"/>
  <c r="P227" i="11"/>
  <c r="P299" i="11"/>
  <c r="P226" i="11"/>
  <c r="M715" i="6"/>
  <c r="P714" i="6"/>
  <c r="P228" i="11"/>
  <c r="P301" i="11"/>
  <c r="P692" i="6"/>
  <c r="P405" i="11"/>
  <c r="M162" i="5"/>
  <c r="P406" i="11"/>
  <c r="P403" i="11"/>
  <c r="M64" i="11"/>
  <c r="M137" i="11"/>
  <c r="M63" i="11"/>
  <c r="M136" i="11"/>
  <c r="M62" i="11"/>
  <c r="M135" i="11"/>
  <c r="P61" i="11"/>
  <c r="L475" i="11"/>
  <c r="L476" i="11"/>
  <c r="L477" i="11"/>
  <c r="M703" i="6"/>
  <c r="K312" i="11"/>
  <c r="K311" i="11"/>
  <c r="K313" i="11"/>
  <c r="K316" i="11"/>
  <c r="P404" i="11"/>
  <c r="P162" i="5"/>
  <c r="P207" i="5"/>
  <c r="P581" i="6"/>
  <c r="N163" i="5"/>
  <c r="N30" i="13"/>
  <c r="N48" i="11"/>
  <c r="N127" i="11"/>
  <c r="N49" i="11"/>
  <c r="N128" i="11"/>
  <c r="N47" i="11"/>
  <c r="N126" i="11"/>
  <c r="N56" i="11"/>
  <c r="O131" i="11"/>
  <c r="P131" i="11"/>
  <c r="P54" i="11"/>
  <c r="N74" i="11"/>
  <c r="N712" i="6"/>
  <c r="N713" i="6"/>
  <c r="N720" i="6"/>
  <c r="P684" i="6"/>
  <c r="O712" i="6"/>
  <c r="O713" i="6"/>
  <c r="O720" i="6"/>
  <c r="O74" i="11"/>
  <c r="P711" i="6"/>
  <c r="O130" i="11"/>
  <c r="P130" i="11"/>
  <c r="P53" i="11"/>
  <c r="O690" i="6"/>
  <c r="P690" i="6"/>
  <c r="P688" i="6"/>
  <c r="M74" i="11"/>
  <c r="M712" i="6"/>
  <c r="P680" i="6"/>
  <c r="O129" i="11"/>
  <c r="P129" i="11"/>
  <c r="P52" i="11"/>
  <c r="F450" i="11"/>
  <c r="F345" i="11"/>
  <c r="F13" i="11"/>
  <c r="I445" i="11"/>
  <c r="I446" i="11"/>
  <c r="K445" i="11"/>
  <c r="K446" i="11"/>
  <c r="G342" i="11"/>
  <c r="H281" i="11"/>
  <c r="H282" i="11"/>
  <c r="I281" i="11"/>
  <c r="I282" i="11"/>
  <c r="J281" i="11"/>
  <c r="J282" i="11"/>
  <c r="F285" i="11"/>
  <c r="F11" i="13"/>
  <c r="F12" i="13"/>
  <c r="F13" i="13"/>
  <c r="J447" i="11"/>
  <c r="J448" i="11"/>
  <c r="J449" i="11"/>
  <c r="J423" i="5"/>
  <c r="F26" i="13"/>
  <c r="M486" i="11"/>
  <c r="P486" i="11"/>
  <c r="M484" i="11"/>
  <c r="P484" i="11"/>
  <c r="F508" i="11"/>
  <c r="F15" i="11"/>
  <c r="F24" i="13"/>
  <c r="M485" i="11"/>
  <c r="P485" i="11"/>
  <c r="L132" i="11"/>
  <c r="L156" i="11"/>
  <c r="L133" i="11"/>
  <c r="L157" i="11"/>
  <c r="L134" i="11"/>
  <c r="P461" i="11"/>
  <c r="L480" i="11"/>
  <c r="P460" i="11"/>
  <c r="K482" i="11"/>
  <c r="K488" i="11"/>
  <c r="K503" i="11"/>
  <c r="K489" i="11"/>
  <c r="K504" i="11"/>
  <c r="L478" i="11"/>
  <c r="L481" i="11"/>
  <c r="L479" i="11"/>
  <c r="L482" i="11"/>
  <c r="L488" i="11"/>
  <c r="L503" i="11"/>
  <c r="J507" i="11"/>
  <c r="J510" i="11"/>
  <c r="J17" i="11"/>
  <c r="J506" i="11"/>
  <c r="J509" i="11"/>
  <c r="J16" i="11"/>
  <c r="P462" i="11"/>
  <c r="M430" i="11"/>
  <c r="P430" i="11"/>
  <c r="M428" i="11"/>
  <c r="M429" i="11"/>
  <c r="P421" i="11"/>
  <c r="P419" i="5"/>
  <c r="L431" i="11"/>
  <c r="I343" i="11"/>
  <c r="I346" i="11"/>
  <c r="I14" i="11"/>
  <c r="H323" i="11"/>
  <c r="H338" i="11"/>
  <c r="K315" i="11"/>
  <c r="K318" i="11"/>
  <c r="K324" i="11"/>
  <c r="K339" i="11"/>
  <c r="J324" i="11"/>
  <c r="J339" i="11"/>
  <c r="G343" i="11"/>
  <c r="K319" i="11"/>
  <c r="K325" i="11"/>
  <c r="K340" i="11"/>
  <c r="H342" i="11"/>
  <c r="K314" i="11"/>
  <c r="K317" i="11"/>
  <c r="K323" i="11"/>
  <c r="K338" i="11"/>
  <c r="J323" i="11"/>
  <c r="J338" i="11"/>
  <c r="G341" i="11"/>
  <c r="H423" i="5"/>
  <c r="K267" i="11"/>
  <c r="H343" i="11"/>
  <c r="H346" i="11"/>
  <c r="H14" i="11"/>
  <c r="M222" i="11"/>
  <c r="M297" i="11"/>
  <c r="M223" i="11"/>
  <c r="M298" i="11"/>
  <c r="M221" i="11"/>
  <c r="M296" i="11"/>
  <c r="K424" i="5"/>
  <c r="I342" i="11"/>
  <c r="I345" i="11"/>
  <c r="I13" i="11"/>
  <c r="I341" i="11"/>
  <c r="I344" i="11"/>
  <c r="I12" i="11"/>
  <c r="P465" i="11"/>
  <c r="I423" i="5"/>
  <c r="H447" i="11"/>
  <c r="H448" i="11"/>
  <c r="H450" i="11"/>
  <c r="I506" i="11"/>
  <c r="I505" i="11"/>
  <c r="I508" i="11"/>
  <c r="I15" i="11"/>
  <c r="I424" i="5"/>
  <c r="P463" i="11"/>
  <c r="I507" i="11"/>
  <c r="I510" i="11"/>
  <c r="I17" i="11"/>
  <c r="J343" i="11"/>
  <c r="J346" i="11"/>
  <c r="J14" i="11"/>
  <c r="P464" i="11"/>
  <c r="J450" i="11"/>
  <c r="G285" i="11"/>
  <c r="M239" i="11"/>
  <c r="P238" i="11"/>
  <c r="M240" i="11"/>
  <c r="M241" i="11"/>
  <c r="M242" i="11"/>
  <c r="P715" i="6"/>
  <c r="M716" i="6"/>
  <c r="M695" i="6"/>
  <c r="L313" i="11"/>
  <c r="L311" i="11"/>
  <c r="L312" i="11"/>
  <c r="P62" i="11"/>
  <c r="L264" i="11"/>
  <c r="L265" i="11"/>
  <c r="K505" i="11"/>
  <c r="K508" i="11"/>
  <c r="K15" i="11"/>
  <c r="P703" i="6"/>
  <c r="M710" i="6"/>
  <c r="P63" i="11"/>
  <c r="M213" i="11"/>
  <c r="M292" i="11"/>
  <c r="M212" i="11"/>
  <c r="M291" i="11"/>
  <c r="M211" i="11"/>
  <c r="M290" i="11"/>
  <c r="M214" i="11"/>
  <c r="M253" i="11"/>
  <c r="P253" i="11"/>
  <c r="P210" i="11"/>
  <c r="P64" i="11"/>
  <c r="O691" i="6"/>
  <c r="P691" i="6"/>
  <c r="O32" i="13"/>
  <c r="O208" i="5"/>
  <c r="O48" i="11"/>
  <c r="O56" i="11"/>
  <c r="O47" i="11"/>
  <c r="O49" i="11"/>
  <c r="P46" i="11"/>
  <c r="N59" i="11"/>
  <c r="N134" i="11"/>
  <c r="N58" i="11"/>
  <c r="N133" i="11"/>
  <c r="N57" i="11"/>
  <c r="N132" i="11"/>
  <c r="P712" i="6"/>
  <c r="M713" i="6"/>
  <c r="P713" i="6"/>
  <c r="N208" i="5"/>
  <c r="N32" i="13"/>
  <c r="M78" i="11"/>
  <c r="M77" i="11"/>
  <c r="M76" i="11"/>
  <c r="M75" i="11"/>
  <c r="N77" i="11"/>
  <c r="N75" i="11"/>
  <c r="N76" i="11"/>
  <c r="N78" i="11"/>
  <c r="O75" i="11"/>
  <c r="O78" i="11"/>
  <c r="O76" i="11"/>
  <c r="O77" i="11"/>
  <c r="P74" i="11"/>
  <c r="L445" i="11"/>
  <c r="L446" i="11"/>
  <c r="G345" i="11"/>
  <c r="G13" i="11"/>
  <c r="K281" i="11"/>
  <c r="K282" i="11"/>
  <c r="H283" i="11"/>
  <c r="H284" i="11"/>
  <c r="H286" i="11"/>
  <c r="F11" i="5"/>
  <c r="F12" i="5"/>
  <c r="F14" i="5"/>
  <c r="I283" i="11"/>
  <c r="I284" i="11"/>
  <c r="I286" i="11"/>
  <c r="K447" i="11"/>
  <c r="K448" i="11"/>
  <c r="K449" i="11"/>
  <c r="L424" i="5"/>
  <c r="M304" i="11"/>
  <c r="M307" i="11"/>
  <c r="P307" i="11"/>
  <c r="M303" i="11"/>
  <c r="P303" i="11"/>
  <c r="M306" i="11"/>
  <c r="P306" i="11"/>
  <c r="M302" i="11"/>
  <c r="P302" i="11"/>
  <c r="M305" i="11"/>
  <c r="P305" i="11"/>
  <c r="M257" i="11"/>
  <c r="P257" i="11"/>
  <c r="M258" i="11"/>
  <c r="P258" i="11"/>
  <c r="L158" i="11"/>
  <c r="K507" i="11"/>
  <c r="K510" i="11"/>
  <c r="K17" i="11"/>
  <c r="L487" i="11"/>
  <c r="L502" i="11"/>
  <c r="K506" i="11"/>
  <c r="K509" i="11"/>
  <c r="K16" i="11"/>
  <c r="L483" i="11"/>
  <c r="L489" i="11"/>
  <c r="L504" i="11"/>
  <c r="G346" i="11"/>
  <c r="G14" i="11"/>
  <c r="H341" i="11"/>
  <c r="L316" i="11"/>
  <c r="L319" i="11"/>
  <c r="L325" i="11"/>
  <c r="L340" i="11"/>
  <c r="H345" i="11"/>
  <c r="H13" i="11"/>
  <c r="L315" i="11"/>
  <c r="L318" i="11"/>
  <c r="L324" i="11"/>
  <c r="L339" i="11"/>
  <c r="J342" i="11"/>
  <c r="J345" i="11"/>
  <c r="J13" i="11"/>
  <c r="L314" i="11"/>
  <c r="L317" i="11"/>
  <c r="L323" i="11"/>
  <c r="L338" i="11"/>
  <c r="K423" i="5"/>
  <c r="J341" i="11"/>
  <c r="J344" i="11"/>
  <c r="J12" i="11"/>
  <c r="G344" i="11"/>
  <c r="G12" i="11"/>
  <c r="P221" i="11"/>
  <c r="P296" i="11"/>
  <c r="P223" i="11"/>
  <c r="P298" i="11"/>
  <c r="P222" i="11"/>
  <c r="P297" i="11"/>
  <c r="J283" i="11"/>
  <c r="J284" i="11"/>
  <c r="J286" i="11"/>
  <c r="H449" i="11"/>
  <c r="I447" i="11"/>
  <c r="I448" i="11"/>
  <c r="I450" i="11"/>
  <c r="I509" i="11"/>
  <c r="I16" i="11"/>
  <c r="M263" i="11"/>
  <c r="F27" i="13"/>
  <c r="F29" i="13"/>
  <c r="P695" i="6"/>
  <c r="M700" i="6"/>
  <c r="P241" i="11"/>
  <c r="P240" i="11"/>
  <c r="P716" i="6"/>
  <c r="P242" i="11"/>
  <c r="P239" i="11"/>
  <c r="K341" i="11"/>
  <c r="K344" i="11"/>
  <c r="K12" i="11"/>
  <c r="P429" i="11"/>
  <c r="P428" i="11"/>
  <c r="M476" i="11"/>
  <c r="M479" i="11"/>
  <c r="P479" i="11"/>
  <c r="M475" i="11"/>
  <c r="M478" i="11"/>
  <c r="P478" i="11"/>
  <c r="M477" i="11"/>
  <c r="M480" i="11"/>
  <c r="P480" i="11"/>
  <c r="P427" i="11"/>
  <c r="P211" i="11"/>
  <c r="P213" i="11"/>
  <c r="K342" i="11"/>
  <c r="K345" i="11"/>
  <c r="K13" i="11"/>
  <c r="P135" i="11"/>
  <c r="L267" i="11"/>
  <c r="P137" i="11"/>
  <c r="K450" i="11"/>
  <c r="P136" i="11"/>
  <c r="M31" i="13"/>
  <c r="P31" i="13"/>
  <c r="M185" i="5"/>
  <c r="P185" i="5"/>
  <c r="P710" i="6"/>
  <c r="K343" i="11"/>
  <c r="K346" i="11"/>
  <c r="K14" i="11"/>
  <c r="L506" i="11"/>
  <c r="L509" i="11"/>
  <c r="L16" i="11"/>
  <c r="P212" i="11"/>
  <c r="O700" i="6"/>
  <c r="O30" i="13"/>
  <c r="I122" i="11"/>
  <c r="M720" i="6"/>
  <c r="M32" i="13"/>
  <c r="P32" i="13"/>
  <c r="N93" i="11"/>
  <c r="N94" i="11"/>
  <c r="M140" i="11"/>
  <c r="M143" i="11"/>
  <c r="N139" i="11"/>
  <c r="N142" i="11"/>
  <c r="M93" i="11"/>
  <c r="M94" i="11"/>
  <c r="O128" i="11"/>
  <c r="P49" i="11"/>
  <c r="N141" i="11"/>
  <c r="N138" i="11"/>
  <c r="O126" i="11"/>
  <c r="P47" i="11"/>
  <c r="O139" i="11"/>
  <c r="O142" i="11"/>
  <c r="P76" i="11"/>
  <c r="O127" i="11"/>
  <c r="P48" i="11"/>
  <c r="O94" i="11"/>
  <c r="O93" i="11"/>
  <c r="P78" i="11"/>
  <c r="O140" i="11"/>
  <c r="O143" i="11"/>
  <c r="P77" i="11"/>
  <c r="N140" i="11"/>
  <c r="N143" i="11"/>
  <c r="O57" i="11"/>
  <c r="O59" i="11"/>
  <c r="P56" i="11"/>
  <c r="O58" i="11"/>
  <c r="O138" i="11"/>
  <c r="O141" i="11"/>
  <c r="P75" i="11"/>
  <c r="M138" i="11"/>
  <c r="M141" i="11"/>
  <c r="M139" i="11"/>
  <c r="M142" i="11"/>
  <c r="H285" i="11"/>
  <c r="L281" i="11"/>
  <c r="L282" i="11"/>
  <c r="I285" i="11"/>
  <c r="K283" i="11"/>
  <c r="K284" i="11"/>
  <c r="K285" i="11"/>
  <c r="F17" i="5"/>
  <c r="L505" i="11"/>
  <c r="L508" i="11"/>
  <c r="L15" i="11"/>
  <c r="M322" i="11"/>
  <c r="P322" i="11"/>
  <c r="P304" i="11"/>
  <c r="M321" i="11"/>
  <c r="P321" i="11"/>
  <c r="M320" i="11"/>
  <c r="P320" i="11"/>
  <c r="L447" i="11"/>
  <c r="L448" i="11"/>
  <c r="L449" i="11"/>
  <c r="L507" i="11"/>
  <c r="L510" i="11"/>
  <c r="L17" i="11"/>
  <c r="H344" i="11"/>
  <c r="H12" i="11"/>
  <c r="P290" i="11"/>
  <c r="P292" i="11"/>
  <c r="P291" i="11"/>
  <c r="M266" i="11"/>
  <c r="F14" i="13"/>
  <c r="J285" i="11"/>
  <c r="I449" i="11"/>
  <c r="K122" i="11"/>
  <c r="M431" i="11"/>
  <c r="M30" i="13"/>
  <c r="M163" i="5"/>
  <c r="L343" i="11"/>
  <c r="L342" i="11"/>
  <c r="L423" i="5"/>
  <c r="P477" i="11"/>
  <c r="M483" i="11"/>
  <c r="P475" i="11"/>
  <c r="M481" i="11"/>
  <c r="P476" i="11"/>
  <c r="M482" i="11"/>
  <c r="L341" i="11"/>
  <c r="L450" i="11"/>
  <c r="M208" i="5"/>
  <c r="P208" i="5"/>
  <c r="P700" i="6"/>
  <c r="O163" i="5"/>
  <c r="P163" i="5"/>
  <c r="P720" i="6"/>
  <c r="P139" i="11"/>
  <c r="N156" i="11"/>
  <c r="M157" i="11"/>
  <c r="P142" i="11"/>
  <c r="P126" i="11"/>
  <c r="N158" i="11"/>
  <c r="N157" i="11"/>
  <c r="P143" i="11"/>
  <c r="O133" i="11"/>
  <c r="P133" i="11"/>
  <c r="P58" i="11"/>
  <c r="P127" i="11"/>
  <c r="P140" i="11"/>
  <c r="M158" i="11"/>
  <c r="O134" i="11"/>
  <c r="P134" i="11"/>
  <c r="P59" i="11"/>
  <c r="P128" i="11"/>
  <c r="P141" i="11"/>
  <c r="P94" i="11"/>
  <c r="P30" i="13"/>
  <c r="P138" i="11"/>
  <c r="M156" i="11"/>
  <c r="O132" i="11"/>
  <c r="P132" i="11"/>
  <c r="P57" i="11"/>
  <c r="P93" i="11"/>
  <c r="K286" i="11"/>
  <c r="J122" i="11"/>
  <c r="M445" i="11"/>
  <c r="M446" i="11"/>
  <c r="P446" i="11"/>
  <c r="M424" i="5"/>
  <c r="P424" i="5"/>
  <c r="P431" i="11"/>
  <c r="L345" i="11"/>
  <c r="L13" i="11"/>
  <c r="L344" i="11"/>
  <c r="L12" i="11"/>
  <c r="L346" i="11"/>
  <c r="L14" i="11"/>
  <c r="P482" i="11"/>
  <c r="M312" i="11"/>
  <c r="M315" i="11"/>
  <c r="M311" i="11"/>
  <c r="M314" i="11"/>
  <c r="M313" i="11"/>
  <c r="M316" i="11"/>
  <c r="M264" i="11"/>
  <c r="M265" i="11"/>
  <c r="L283" i="11"/>
  <c r="L284" i="11"/>
  <c r="P483" i="11"/>
  <c r="P481" i="11"/>
  <c r="L122" i="11"/>
  <c r="O158" i="11"/>
  <c r="P158" i="11"/>
  <c r="O157" i="11"/>
  <c r="P157" i="11"/>
  <c r="O156" i="11"/>
  <c r="P156" i="11"/>
  <c r="M447" i="11"/>
  <c r="P447" i="11"/>
  <c r="P445" i="11"/>
  <c r="M487" i="11"/>
  <c r="M502" i="11"/>
  <c r="M489" i="11"/>
  <c r="M504" i="11"/>
  <c r="M319" i="11"/>
  <c r="L285" i="11"/>
  <c r="L286" i="11"/>
  <c r="M317" i="11"/>
  <c r="M318" i="11"/>
  <c r="M488" i="11"/>
  <c r="M503" i="11"/>
  <c r="M448" i="11"/>
  <c r="M449" i="11"/>
  <c r="P449" i="11"/>
  <c r="M267" i="11"/>
  <c r="P504" i="11"/>
  <c r="P489" i="11"/>
  <c r="P502" i="11"/>
  <c r="P487" i="11"/>
  <c r="P503" i="11"/>
  <c r="P488" i="11"/>
  <c r="M281" i="11"/>
  <c r="M282" i="11"/>
  <c r="M423" i="5"/>
  <c r="P448" i="11"/>
  <c r="M450" i="11"/>
  <c r="P450" i="11"/>
  <c r="M324" i="11"/>
  <c r="M339" i="11"/>
  <c r="M505" i="11"/>
  <c r="P505" i="11"/>
  <c r="M325" i="11"/>
  <c r="M340" i="11"/>
  <c r="M323" i="11"/>
  <c r="M338" i="11"/>
  <c r="M507" i="11"/>
  <c r="M506" i="11"/>
  <c r="N122" i="11"/>
  <c r="M343" i="11"/>
  <c r="M508" i="11"/>
  <c r="M122" i="11"/>
  <c r="M283" i="11"/>
  <c r="M509" i="11"/>
  <c r="P506" i="11"/>
  <c r="M510" i="11"/>
  <c r="P507" i="11"/>
  <c r="P508" i="11"/>
  <c r="M15" i="11"/>
  <c r="P15" i="11"/>
  <c r="P509" i="11"/>
  <c r="M16" i="11"/>
  <c r="P16" i="11"/>
  <c r="P510" i="11"/>
  <c r="M17" i="11"/>
  <c r="P17" i="11"/>
  <c r="M341" i="11"/>
  <c r="M342" i="11"/>
  <c r="M345" i="11"/>
  <c r="M284" i="11"/>
  <c r="M285" i="11"/>
  <c r="M346" i="11"/>
  <c r="O122" i="11"/>
  <c r="P122" i="11"/>
  <c r="M13" i="11"/>
  <c r="M14" i="11"/>
  <c r="M344" i="11"/>
  <c r="M286" i="11"/>
  <c r="M12" i="11"/>
  <c r="E209" i="11"/>
  <c r="E214" i="11"/>
  <c r="E253" i="11"/>
  <c r="E219" i="11"/>
  <c r="E254" i="11"/>
  <c r="E224" i="11"/>
  <c r="E255" i="11"/>
  <c r="E229" i="11"/>
  <c r="E256" i="11"/>
  <c r="E262" i="11"/>
  <c r="E263" i="11"/>
  <c r="E264" i="11"/>
  <c r="E265" i="11"/>
  <c r="E245" i="11"/>
  <c r="E266" i="11"/>
  <c r="E267" i="11"/>
  <c r="E281" i="11"/>
  <c r="E282" i="11"/>
  <c r="E283" i="11"/>
  <c r="E284" i="11"/>
  <c r="E285" i="11"/>
  <c r="E11" i="13"/>
  <c r="E12" i="13"/>
  <c r="E13" i="13"/>
  <c r="E14" i="13"/>
  <c r="E27" i="13"/>
  <c r="E11" i="5"/>
  <c r="E12" i="5"/>
  <c r="E17" i="5"/>
  <c r="E14" i="5"/>
  <c r="E29" i="13"/>
  <c r="E311" i="11"/>
  <c r="E314" i="11"/>
  <c r="E317" i="11"/>
  <c r="E323" i="11"/>
  <c r="E326" i="11"/>
  <c r="E338" i="11"/>
  <c r="E341" i="11"/>
  <c r="E344" i="11"/>
  <c r="E12" i="11"/>
  <c r="P12" i="11"/>
  <c r="P344" i="11"/>
  <c r="P285" i="11"/>
  <c r="E286" i="11"/>
  <c r="P286" i="11"/>
  <c r="P284" i="11"/>
  <c r="E312" i="11"/>
  <c r="E315" i="11"/>
  <c r="E318" i="11"/>
  <c r="E324" i="11"/>
  <c r="E327" i="11"/>
  <c r="E339" i="11"/>
  <c r="E342" i="11"/>
  <c r="P342" i="11"/>
  <c r="E25" i="13"/>
  <c r="P341" i="11"/>
  <c r="E313" i="11"/>
  <c r="E316" i="11"/>
  <c r="E319" i="11"/>
  <c r="E325" i="11"/>
  <c r="E328" i="11"/>
  <c r="E340" i="11"/>
  <c r="E343" i="11"/>
  <c r="E346" i="11"/>
  <c r="E14" i="11"/>
  <c r="P14" i="11"/>
  <c r="P346" i="11"/>
  <c r="E345" i="11"/>
  <c r="E13" i="11"/>
  <c r="P13" i="11"/>
  <c r="P345" i="11"/>
  <c r="E24" i="13"/>
  <c r="P343" i="11"/>
  <c r="P340" i="11"/>
  <c r="E26" i="13"/>
  <c r="P267" i="11"/>
  <c r="P323" i="11"/>
  <c r="P283" i="11"/>
  <c r="P325" i="11"/>
  <c r="P339" i="11"/>
  <c r="P324" i="11"/>
  <c r="P338" i="11"/>
  <c r="E423" i="5"/>
  <c r="P423" i="5"/>
  <c r="P282" i="11"/>
  <c r="P281" i="11"/>
  <c r="P319" i="11"/>
  <c r="P318" i="11"/>
  <c r="P317" i="11"/>
  <c r="P312" i="11"/>
  <c r="P264" i="11"/>
  <c r="P265" i="11"/>
  <c r="P311" i="11"/>
  <c r="P313" i="11"/>
  <c r="P263" i="11"/>
  <c r="P316" i="11"/>
  <c r="P314" i="11"/>
  <c r="P315" i="11"/>
  <c r="P266" i="11"/>
  <c r="P256" i="11"/>
  <c r="P245" i="11"/>
  <c r="P418" i="5"/>
  <c r="P214" i="11"/>
  <c r="P224" i="11"/>
  <c r="P229" i="11"/>
  <c r="P219" i="11"/>
  <c r="P328" i="11"/>
  <c r="P326" i="11"/>
  <c r="E247" i="11"/>
  <c r="P247" i="11"/>
  <c r="P327" i="11"/>
  <c r="P262" i="11"/>
  <c r="P209" i="11"/>
  <c r="M45" i="11"/>
  <c r="M50" i="11"/>
  <c r="M89" i="11"/>
  <c r="M55" i="11"/>
  <c r="M90" i="11"/>
  <c r="M60" i="11"/>
  <c r="M91" i="11"/>
  <c r="M65" i="11"/>
  <c r="M92" i="11"/>
  <c r="M98" i="11"/>
  <c r="M99" i="11"/>
  <c r="M100" i="11"/>
  <c r="M101" i="11"/>
  <c r="M102" i="11"/>
  <c r="M103" i="11"/>
  <c r="M149" i="11"/>
  <c r="M152" i="11"/>
  <c r="M155" i="11"/>
  <c r="M161" i="11"/>
  <c r="M164" i="11"/>
  <c r="M176" i="11"/>
  <c r="M179" i="11"/>
  <c r="M26" i="13"/>
  <c r="M147" i="11"/>
  <c r="M150" i="11"/>
  <c r="M153" i="11"/>
  <c r="M159" i="11"/>
  <c r="M162" i="11"/>
  <c r="M174" i="11"/>
  <c r="M177" i="11"/>
  <c r="M24" i="13"/>
  <c r="M148" i="11"/>
  <c r="M151" i="11"/>
  <c r="M154" i="11"/>
  <c r="M160" i="11"/>
  <c r="M163" i="11"/>
  <c r="M175" i="11"/>
  <c r="M178" i="11"/>
  <c r="M25" i="13"/>
  <c r="M117" i="11"/>
  <c r="M118" i="11"/>
  <c r="M119" i="11"/>
  <c r="M120" i="11"/>
  <c r="M121" i="11"/>
  <c r="M11" i="13"/>
  <c r="M11" i="5"/>
  <c r="M27" i="13"/>
  <c r="M29" i="13"/>
  <c r="M12" i="5"/>
  <c r="M70" i="5"/>
  <c r="M13" i="5"/>
  <c r="M14" i="5"/>
  <c r="M17" i="5"/>
  <c r="M12" i="13"/>
  <c r="M13" i="13"/>
  <c r="M14" i="13"/>
  <c r="M180" i="11"/>
  <c r="M9" i="11"/>
  <c r="M181" i="11"/>
  <c r="M10" i="11"/>
  <c r="M182" i="11"/>
  <c r="M11" i="11"/>
  <c r="M422" i="5"/>
  <c r="M81" i="11"/>
  <c r="M83" i="11"/>
  <c r="N45" i="11"/>
  <c r="N50" i="11"/>
  <c r="N89" i="11"/>
  <c r="N55" i="11"/>
  <c r="N90" i="11"/>
  <c r="N60" i="11"/>
  <c r="N91" i="11"/>
  <c r="N65" i="11"/>
  <c r="N92" i="11"/>
  <c r="N98" i="11"/>
  <c r="N99" i="11"/>
  <c r="N100" i="11"/>
  <c r="N101" i="11"/>
  <c r="N102" i="11"/>
  <c r="N103" i="11"/>
  <c r="N117" i="11"/>
  <c r="N118" i="11"/>
  <c r="N119" i="11"/>
  <c r="N120" i="11"/>
  <c r="N121" i="11"/>
  <c r="N11" i="5"/>
  <c r="N12" i="5"/>
  <c r="N70" i="5"/>
  <c r="N13" i="5"/>
  <c r="N162" i="11"/>
  <c r="N164" i="11"/>
  <c r="N83" i="11"/>
  <c r="N163" i="11"/>
  <c r="N147" i="11"/>
  <c r="N149" i="11"/>
  <c r="N148" i="11"/>
  <c r="N81" i="11"/>
  <c r="N152" i="11"/>
  <c r="N151" i="11"/>
  <c r="N154" i="11"/>
  <c r="N150" i="11"/>
  <c r="N153" i="11"/>
  <c r="N155" i="11"/>
  <c r="N160" i="11"/>
  <c r="N175" i="11"/>
  <c r="N159" i="11"/>
  <c r="N174" i="11"/>
  <c r="N422" i="5"/>
  <c r="N161" i="11"/>
  <c r="N176" i="11"/>
  <c r="N179" i="11"/>
  <c r="N182" i="11"/>
  <c r="N11" i="11"/>
  <c r="N177" i="11"/>
  <c r="N178" i="11"/>
  <c r="N181" i="11"/>
  <c r="N10" i="11"/>
  <c r="N180" i="11"/>
  <c r="N9" i="11"/>
  <c r="N11" i="13"/>
  <c r="N12" i="13"/>
  <c r="N13" i="13"/>
  <c r="N14" i="13"/>
  <c r="N27" i="13"/>
  <c r="N17" i="5"/>
  <c r="N14" i="5"/>
  <c r="N29" i="13"/>
  <c r="N25" i="13"/>
  <c r="N24" i="13"/>
  <c r="N26" i="13"/>
  <c r="G45" i="11"/>
  <c r="G50" i="11"/>
  <c r="G89" i="11"/>
  <c r="G55" i="11"/>
  <c r="G90" i="11"/>
  <c r="G60" i="11"/>
  <c r="G91" i="11"/>
  <c r="G65" i="11"/>
  <c r="G92" i="11"/>
  <c r="G98" i="11"/>
  <c r="G99" i="11"/>
  <c r="G100" i="11"/>
  <c r="G101" i="11"/>
  <c r="G102" i="11"/>
  <c r="G103" i="11"/>
  <c r="G149" i="11"/>
  <c r="G152" i="11"/>
  <c r="G155" i="11"/>
  <c r="G161" i="11"/>
  <c r="G164" i="11"/>
  <c r="G176" i="11"/>
  <c r="G179" i="11"/>
  <c r="G26" i="13"/>
  <c r="G148" i="11"/>
  <c r="G151" i="11"/>
  <c r="G154" i="11"/>
  <c r="G160" i="11"/>
  <c r="G163" i="11"/>
  <c r="G175" i="11"/>
  <c r="G178" i="11"/>
  <c r="G25" i="13"/>
  <c r="G117" i="11"/>
  <c r="G118" i="11"/>
  <c r="G119" i="11"/>
  <c r="G120" i="11"/>
  <c r="G121" i="11"/>
  <c r="G11" i="13"/>
  <c r="G11" i="5"/>
  <c r="G12" i="5"/>
  <c r="G70" i="5"/>
  <c r="G13" i="5"/>
  <c r="G14" i="5"/>
  <c r="G12" i="13"/>
  <c r="G13" i="13"/>
  <c r="G14" i="13"/>
  <c r="G147" i="11"/>
  <c r="G150" i="11"/>
  <c r="G153" i="11"/>
  <c r="G159" i="11"/>
  <c r="G162" i="11"/>
  <c r="G174" i="11"/>
  <c r="G177" i="11"/>
  <c r="G180" i="11"/>
  <c r="G9" i="11"/>
  <c r="G181" i="11"/>
  <c r="G10" i="11"/>
  <c r="G182" i="11"/>
  <c r="G11" i="11"/>
  <c r="G422" i="5"/>
  <c r="G81" i="11"/>
  <c r="G83" i="11"/>
  <c r="G17" i="5"/>
  <c r="G27" i="13"/>
  <c r="G29" i="13"/>
  <c r="G24" i="13"/>
  <c r="H45" i="11"/>
  <c r="H50" i="11"/>
  <c r="H89" i="11"/>
  <c r="H55" i="11"/>
  <c r="H90" i="11"/>
  <c r="H60" i="11"/>
  <c r="H91" i="11"/>
  <c r="H65" i="11"/>
  <c r="H92" i="11"/>
  <c r="H98" i="11"/>
  <c r="H99" i="11"/>
  <c r="H100" i="11"/>
  <c r="H101" i="11"/>
  <c r="H102" i="11"/>
  <c r="H103" i="11"/>
  <c r="H117" i="11"/>
  <c r="H118" i="11"/>
  <c r="H119" i="11"/>
  <c r="H120" i="11"/>
  <c r="H121" i="11"/>
  <c r="H11" i="5"/>
  <c r="H12" i="5"/>
  <c r="H70" i="5"/>
  <c r="I45" i="11"/>
  <c r="I50" i="11"/>
  <c r="I89" i="11"/>
  <c r="I55" i="11"/>
  <c r="I90" i="11"/>
  <c r="I60" i="11"/>
  <c r="I91" i="11"/>
  <c r="I65" i="11"/>
  <c r="I92" i="11"/>
  <c r="I98" i="11"/>
  <c r="I99" i="11"/>
  <c r="I100" i="11"/>
  <c r="I101" i="11"/>
  <c r="I102" i="11"/>
  <c r="I103" i="11"/>
  <c r="I117" i="11"/>
  <c r="I118" i="11"/>
  <c r="I119" i="11"/>
  <c r="I120" i="11"/>
  <c r="I121" i="11"/>
  <c r="I11" i="5"/>
  <c r="I12" i="5"/>
  <c r="I70" i="5"/>
  <c r="J45" i="11"/>
  <c r="J50" i="11"/>
  <c r="J89" i="11"/>
  <c r="J55" i="11"/>
  <c r="J90" i="11"/>
  <c r="J60" i="11"/>
  <c r="J91" i="11"/>
  <c r="J65" i="11"/>
  <c r="J92" i="11"/>
  <c r="J98" i="11"/>
  <c r="J99" i="11"/>
  <c r="J100" i="11"/>
  <c r="J101" i="11"/>
  <c r="J102" i="11"/>
  <c r="J103" i="11"/>
  <c r="J117" i="11"/>
  <c r="J118" i="11"/>
  <c r="J119" i="11"/>
  <c r="J120" i="11"/>
  <c r="J121" i="11"/>
  <c r="J11" i="5"/>
  <c r="J12" i="5"/>
  <c r="J70" i="5"/>
  <c r="K45" i="11"/>
  <c r="K50" i="11"/>
  <c r="K89" i="11"/>
  <c r="K55" i="11"/>
  <c r="K90" i="11"/>
  <c r="K60" i="11"/>
  <c r="K91" i="11"/>
  <c r="K65" i="11"/>
  <c r="K92" i="11"/>
  <c r="K98" i="11"/>
  <c r="K99" i="11"/>
  <c r="K100" i="11"/>
  <c r="K101" i="11"/>
  <c r="K102" i="11"/>
  <c r="K103" i="11"/>
  <c r="K117" i="11"/>
  <c r="K118" i="11"/>
  <c r="K119" i="11"/>
  <c r="K120" i="11"/>
  <c r="K121" i="11"/>
  <c r="K11" i="5"/>
  <c r="K12" i="5"/>
  <c r="K70" i="5"/>
  <c r="L45" i="11"/>
  <c r="L50" i="11"/>
  <c r="L89" i="11"/>
  <c r="L55" i="11"/>
  <c r="L90" i="11"/>
  <c r="L60" i="11"/>
  <c r="L91" i="11"/>
  <c r="L65" i="11"/>
  <c r="L92" i="11"/>
  <c r="L98" i="11"/>
  <c r="L99" i="11"/>
  <c r="L100" i="11"/>
  <c r="L101" i="11"/>
  <c r="L102" i="11"/>
  <c r="L103" i="11"/>
  <c r="L117" i="11"/>
  <c r="L118" i="11"/>
  <c r="L119" i="11"/>
  <c r="L120" i="11"/>
  <c r="L121" i="11"/>
  <c r="L11" i="5"/>
  <c r="L12" i="5"/>
  <c r="L70" i="5"/>
  <c r="P70" i="5"/>
  <c r="P63" i="5"/>
  <c r="H13" i="5"/>
  <c r="I13" i="5"/>
  <c r="J13" i="5"/>
  <c r="K13" i="5"/>
  <c r="L13" i="5"/>
  <c r="L162" i="11"/>
  <c r="K162" i="11"/>
  <c r="J162" i="11"/>
  <c r="I162" i="11"/>
  <c r="H162" i="11"/>
  <c r="L164" i="11"/>
  <c r="K164" i="11"/>
  <c r="J164" i="11"/>
  <c r="I164" i="11"/>
  <c r="H164" i="11"/>
  <c r="L83" i="11"/>
  <c r="K83" i="11"/>
  <c r="J83" i="11"/>
  <c r="I83" i="11"/>
  <c r="H83" i="11"/>
  <c r="L163" i="11"/>
  <c r="K163" i="11"/>
  <c r="J163" i="11"/>
  <c r="I163" i="11"/>
  <c r="H163" i="11"/>
  <c r="L147" i="11"/>
  <c r="K147" i="11"/>
  <c r="J147" i="11"/>
  <c r="I147" i="11"/>
  <c r="H147" i="11"/>
  <c r="L149" i="11"/>
  <c r="K149" i="11"/>
  <c r="J149" i="11"/>
  <c r="I149" i="11"/>
  <c r="H149" i="11"/>
  <c r="L148" i="11"/>
  <c r="K148" i="11"/>
  <c r="J148" i="11"/>
  <c r="I148" i="11"/>
  <c r="H148" i="11"/>
  <c r="L81" i="11"/>
  <c r="K81" i="11"/>
  <c r="J81" i="11"/>
  <c r="I81" i="11"/>
  <c r="H81" i="11"/>
  <c r="L152" i="11"/>
  <c r="K152" i="11"/>
  <c r="J152" i="11"/>
  <c r="I152" i="11"/>
  <c r="H152" i="11"/>
  <c r="L151" i="11"/>
  <c r="L154" i="11"/>
  <c r="K151" i="11"/>
  <c r="K154" i="11"/>
  <c r="J151" i="11"/>
  <c r="J154" i="11"/>
  <c r="I151" i="11"/>
  <c r="I154" i="11"/>
  <c r="H151" i="11"/>
  <c r="H154" i="11"/>
  <c r="L150" i="11"/>
  <c r="L153" i="11"/>
  <c r="K150" i="11"/>
  <c r="K153" i="11"/>
  <c r="J150" i="11"/>
  <c r="J153" i="11"/>
  <c r="I150" i="11"/>
  <c r="I153" i="11"/>
  <c r="H150" i="11"/>
  <c r="H153" i="11"/>
  <c r="L155" i="11"/>
  <c r="K155" i="11"/>
  <c r="J155" i="11"/>
  <c r="I155" i="11"/>
  <c r="H155" i="11"/>
  <c r="L160" i="11"/>
  <c r="L175" i="11"/>
  <c r="K160" i="11"/>
  <c r="K175" i="11"/>
  <c r="J160" i="11"/>
  <c r="J175" i="11"/>
  <c r="I160" i="11"/>
  <c r="I175" i="11"/>
  <c r="H160" i="11"/>
  <c r="H175" i="11"/>
  <c r="L159" i="11"/>
  <c r="L174" i="11"/>
  <c r="K159" i="11"/>
  <c r="K174" i="11"/>
  <c r="J159" i="11"/>
  <c r="J174" i="11"/>
  <c r="I159" i="11"/>
  <c r="I174" i="11"/>
  <c r="H159" i="11"/>
  <c r="H174" i="11"/>
  <c r="J422" i="5"/>
  <c r="K422" i="5"/>
  <c r="L422" i="5"/>
  <c r="H422" i="5"/>
  <c r="I422" i="5"/>
  <c r="L161" i="11"/>
  <c r="L176" i="11"/>
  <c r="K161" i="11"/>
  <c r="K176" i="11"/>
  <c r="J161" i="11"/>
  <c r="J176" i="11"/>
  <c r="I161" i="11"/>
  <c r="I176" i="11"/>
  <c r="H161" i="11"/>
  <c r="H176" i="11"/>
  <c r="L179" i="11"/>
  <c r="L182" i="11"/>
  <c r="K179" i="11"/>
  <c r="K182" i="11"/>
  <c r="J179" i="11"/>
  <c r="J182" i="11"/>
  <c r="I179" i="11"/>
  <c r="I182" i="11"/>
  <c r="H179" i="11"/>
  <c r="H182" i="11"/>
  <c r="J11" i="11"/>
  <c r="K11" i="11"/>
  <c r="L11" i="11"/>
  <c r="H11" i="11"/>
  <c r="I11" i="11"/>
  <c r="L177" i="11"/>
  <c r="K177" i="11"/>
  <c r="J177" i="11"/>
  <c r="I177" i="11"/>
  <c r="H177" i="11"/>
  <c r="L178" i="11"/>
  <c r="K178" i="11"/>
  <c r="J178" i="11"/>
  <c r="I178" i="11"/>
  <c r="H178" i="11"/>
  <c r="L181" i="11"/>
  <c r="K181" i="11"/>
  <c r="J181" i="11"/>
  <c r="I181" i="11"/>
  <c r="H181" i="11"/>
  <c r="J10" i="11"/>
  <c r="K10" i="11"/>
  <c r="L10" i="11"/>
  <c r="H10" i="11"/>
  <c r="I10" i="11"/>
  <c r="L180" i="11"/>
  <c r="K180" i="11"/>
  <c r="J180" i="11"/>
  <c r="I180" i="11"/>
  <c r="H180" i="11"/>
  <c r="J9" i="11"/>
  <c r="K9" i="11"/>
  <c r="L9" i="11"/>
  <c r="H9" i="11"/>
  <c r="I9" i="11"/>
  <c r="H11" i="13"/>
  <c r="H12" i="13"/>
  <c r="H13" i="13"/>
  <c r="H14" i="13"/>
  <c r="I11" i="13"/>
  <c r="I12" i="13"/>
  <c r="I13" i="13"/>
  <c r="I14" i="13"/>
  <c r="J11" i="13"/>
  <c r="J12" i="13"/>
  <c r="J13" i="13"/>
  <c r="J14" i="13"/>
  <c r="K11" i="13"/>
  <c r="K12" i="13"/>
  <c r="K13" i="13"/>
  <c r="K14" i="13"/>
  <c r="L11" i="13"/>
  <c r="L12" i="13"/>
  <c r="L13" i="13"/>
  <c r="L14" i="13"/>
  <c r="H14" i="5"/>
  <c r="I14" i="5"/>
  <c r="J14" i="5"/>
  <c r="K14" i="5"/>
  <c r="L14" i="5"/>
  <c r="J25" i="13"/>
  <c r="K25" i="13"/>
  <c r="L25" i="13"/>
  <c r="H25" i="13"/>
  <c r="I25" i="13"/>
  <c r="J26" i="13"/>
  <c r="K26" i="13"/>
  <c r="L26" i="13"/>
  <c r="H26" i="13"/>
  <c r="I26" i="13"/>
  <c r="J24" i="13"/>
  <c r="J27" i="13"/>
  <c r="J29" i="13"/>
  <c r="J17" i="5"/>
  <c r="L17" i="5"/>
  <c r="L27" i="13"/>
  <c r="L29" i="13"/>
  <c r="K17" i="5"/>
  <c r="I27" i="13"/>
  <c r="I29" i="13"/>
  <c r="L24" i="13"/>
  <c r="I17" i="5"/>
  <c r="H17" i="5"/>
  <c r="K27" i="13"/>
  <c r="K29" i="13"/>
  <c r="H27" i="13"/>
  <c r="H29" i="13"/>
  <c r="K24" i="13"/>
  <c r="H24" i="13"/>
  <c r="I24" i="13"/>
  <c r="O45" i="11"/>
  <c r="O50" i="11"/>
  <c r="O89" i="11"/>
  <c r="O55" i="11"/>
  <c r="O90" i="11"/>
  <c r="O60" i="11"/>
  <c r="O91" i="11"/>
  <c r="O65" i="11"/>
  <c r="O92" i="11"/>
  <c r="O98" i="11"/>
  <c r="O99" i="11"/>
  <c r="O100" i="11"/>
  <c r="O101" i="11"/>
  <c r="O102" i="11"/>
  <c r="O103" i="11"/>
  <c r="O117" i="11"/>
  <c r="O118" i="11"/>
  <c r="O119" i="11"/>
  <c r="O120" i="11"/>
  <c r="O121" i="11"/>
  <c r="O11" i="13"/>
  <c r="O27" i="13"/>
  <c r="P27" i="13"/>
  <c r="O11" i="5"/>
  <c r="O12" i="5"/>
  <c r="O17" i="5"/>
  <c r="P17" i="5"/>
  <c r="O29" i="13"/>
  <c r="P29" i="13"/>
  <c r="O147" i="11"/>
  <c r="O150" i="11"/>
  <c r="O153" i="11"/>
  <c r="O159" i="11"/>
  <c r="O162" i="11"/>
  <c r="O174" i="11"/>
  <c r="O177" i="11"/>
  <c r="O24" i="13"/>
  <c r="P24" i="13"/>
  <c r="P103" i="11"/>
  <c r="P494" i="5"/>
  <c r="P493" i="5"/>
  <c r="O149" i="11"/>
  <c r="O152" i="11"/>
  <c r="O155" i="11"/>
  <c r="O161" i="11"/>
  <c r="O164" i="11"/>
  <c r="O176" i="11"/>
  <c r="O179" i="11"/>
  <c r="O26" i="13"/>
  <c r="P26" i="13"/>
  <c r="O148" i="11"/>
  <c r="O151" i="11"/>
  <c r="O154" i="11"/>
  <c r="O160" i="11"/>
  <c r="O163" i="11"/>
  <c r="O175" i="11"/>
  <c r="O178" i="11"/>
  <c r="O25" i="13"/>
  <c r="P25" i="13"/>
  <c r="P11" i="13"/>
  <c r="P11" i="5"/>
  <c r="O70" i="5"/>
  <c r="O13" i="5"/>
  <c r="O14" i="5"/>
  <c r="P14" i="5"/>
  <c r="P12" i="5"/>
  <c r="O12" i="13"/>
  <c r="O13" i="13"/>
  <c r="P13" i="13"/>
  <c r="P12" i="13"/>
  <c r="O14" i="13"/>
  <c r="P14" i="13"/>
  <c r="O180" i="11"/>
  <c r="O9" i="11"/>
  <c r="P9" i="11"/>
  <c r="P180" i="11"/>
  <c r="O181" i="11"/>
  <c r="O10" i="11"/>
  <c r="P10" i="11"/>
  <c r="P181" i="11"/>
  <c r="P120" i="11"/>
  <c r="P121" i="11"/>
  <c r="P119" i="11"/>
  <c r="P178" i="11"/>
  <c r="P177" i="11"/>
  <c r="P179" i="11"/>
  <c r="O182" i="11"/>
  <c r="O11" i="11"/>
  <c r="P11" i="11"/>
  <c r="P182" i="11"/>
  <c r="P161" i="11"/>
  <c r="P176" i="11"/>
  <c r="P117" i="11"/>
  <c r="O422" i="5"/>
  <c r="P422" i="5"/>
  <c r="P160" i="11"/>
  <c r="P159" i="11"/>
  <c r="P174" i="11"/>
  <c r="P175" i="11"/>
  <c r="P155" i="11"/>
  <c r="P118" i="11"/>
  <c r="P151" i="11"/>
  <c r="P150" i="11"/>
  <c r="P101" i="11"/>
  <c r="P153" i="11"/>
  <c r="P154" i="11"/>
  <c r="P102" i="11"/>
  <c r="P152" i="11"/>
  <c r="P89" i="11"/>
  <c r="P90" i="11"/>
  <c r="P91" i="11"/>
  <c r="P92" i="11"/>
  <c r="O81" i="11"/>
  <c r="P81" i="11"/>
  <c r="P417" i="5"/>
  <c r="P100" i="11"/>
  <c r="P148" i="11"/>
  <c r="P149" i="11"/>
  <c r="P147" i="11"/>
  <c r="P60" i="11"/>
  <c r="P99" i="11"/>
  <c r="P50" i="11"/>
  <c r="P65" i="11"/>
  <c r="P55" i="11"/>
  <c r="P163" i="11"/>
  <c r="O83" i="11"/>
  <c r="P83" i="11"/>
  <c r="P98" i="11"/>
  <c r="P164" i="11"/>
  <c r="P162" i="11"/>
  <c r="P45" i="11"/>
  <c r="P13" i="5"/>
  <c r="D63" i="5"/>
  <c r="P37" i="13"/>
</calcChain>
</file>

<file path=xl/sharedStrings.xml><?xml version="1.0" encoding="utf-8"?>
<sst xmlns="http://schemas.openxmlformats.org/spreadsheetml/2006/main" count="2358" uniqueCount="1110">
  <si>
    <t>Year 1</t>
  </si>
  <si>
    <t>Year 2</t>
  </si>
  <si>
    <t>Total</t>
  </si>
  <si>
    <t>Year 3</t>
  </si>
  <si>
    <t>Year 4</t>
  </si>
  <si>
    <t>Year 5</t>
  </si>
  <si>
    <t>Year 6</t>
  </si>
  <si>
    <t>Year 7</t>
  </si>
  <si>
    <t>Year 8</t>
  </si>
  <si>
    <t>Year 9</t>
  </si>
  <si>
    <t>Year 10</t>
  </si>
  <si>
    <t>% of Slots allocated for ELL</t>
  </si>
  <si>
    <t>% of Slots allocated for Special Needs</t>
  </si>
  <si>
    <t>Subtotal: Allocations for ELL and Special Needs</t>
  </si>
  <si>
    <t>% of Slots allocated to Rural Areas</t>
  </si>
  <si>
    <t>Slot Breakdown: FPL/ELL/Special Needs</t>
  </si>
  <si>
    <t>FPL Eligibility Threshold (% FPL)</t>
  </si>
  <si>
    <t>State/Region:</t>
  </si>
  <si>
    <t>Child Care Centers</t>
  </si>
  <si>
    <t>Head Start</t>
  </si>
  <si>
    <t>Public PreK</t>
  </si>
  <si>
    <t>Part Day Care</t>
  </si>
  <si>
    <t>Full Day Care</t>
  </si>
  <si>
    <t>Extended Day Care</t>
  </si>
  <si>
    <t>Total Teachers (Year 0)</t>
  </si>
  <si>
    <t>Year 0 (Pre-Existing Slots)</t>
  </si>
  <si>
    <t>Part Day (3hr)</t>
  </si>
  <si>
    <t>Full Day (6hr)</t>
  </si>
  <si>
    <t>Extended Day (10hr)</t>
  </si>
  <si>
    <t>Subtotal: Child Care Center Slots</t>
  </si>
  <si>
    <t>Subtotal: Head Start Slots</t>
  </si>
  <si>
    <t>Dosage: Weeks per year (all Delivery Models assume 5 days per week)</t>
  </si>
  <si>
    <t>Total Assistant Teachers (Year 0)</t>
  </si>
  <si>
    <t>Subtotal: Number of Participating Teachers (Year 0)</t>
  </si>
  <si>
    <t>Scenario:</t>
  </si>
  <si>
    <t>Subtotal: Number of Participating Teachers with AA degrees (Year 0)</t>
  </si>
  <si>
    <t>% of New Teachers Hired with BA or higher (Years 1+)</t>
  </si>
  <si>
    <t>% of Participating New Teachers with AA degree (Years 1+)</t>
  </si>
  <si>
    <t>% of Participating New Teachers without AA or BA degrees (Years 1+)</t>
  </si>
  <si>
    <t>Total Preschool Slots</t>
  </si>
  <si>
    <t>% of Teachers with ECE Credential (Year 0)</t>
  </si>
  <si>
    <t>% of Teachers without ECE Credential Participating in Specialized Training (Year 0)</t>
  </si>
  <si>
    <t>% of Teachers with BA degree or higher (Year 0)</t>
  </si>
  <si>
    <t>Annual State-Level Cost per Participating Teacher to Administrate ECE Tuition Support ($)</t>
  </si>
  <si>
    <t>Annual State-Level Cost per Participating Teacher to Administrate BA Tuition Support ($)</t>
  </si>
  <si>
    <t>% of Teachers without BA Participating in Tuition Support to earn BA (Year 0)</t>
  </si>
  <si>
    <t>% of New Teachers without BA Participating in Tuition Support to earn BA (Years 1+)</t>
  </si>
  <si>
    <t>% of Assistant Teachers with CDA Credential or higher (Year 0)</t>
  </si>
  <si>
    <t>% of Assistant Teachers without CDA Participating in Tuition Support to earn CDA (Year 0)</t>
  </si>
  <si>
    <t>Subtotal: Number of Participating Assistant Teachers (Year 0)</t>
  </si>
  <si>
    <t>Number of Years Required by AA Teachers to earn BA degree</t>
  </si>
  <si>
    <t>Number of Years Required by Teachers without BA or AA to earn BA degree</t>
  </si>
  <si>
    <t>Number of Years Required by Teachers to earn ECE Credential</t>
  </si>
  <si>
    <t>Number of Years Required by Assistant Teachers to earn CDA Credential</t>
  </si>
  <si>
    <t>% of New Assistant Teachers Hired with CDA Credential (Years 1+)</t>
  </si>
  <si>
    <t>(Benchmark: Vision, Hearing, Health, and at Least One Support Service)</t>
  </si>
  <si>
    <t>% of New Teachers Hired with ECE Credential (Years 1+)</t>
  </si>
  <si>
    <t>Fixed</t>
  </si>
  <si>
    <t>By Delivery Model</t>
  </si>
  <si>
    <t>By Implementation Year</t>
  </si>
  <si>
    <t>Subtotal: In-Service Training Cost per Teacher per Hour</t>
  </si>
  <si>
    <t>Subtotal: Cumulative Slots by Delivery Model</t>
  </si>
  <si>
    <t>Vision</t>
  </si>
  <si>
    <t>Hearing</t>
  </si>
  <si>
    <t>Health</t>
  </si>
  <si>
    <t>% of Participating Teachers with AA degrees (Year 0)</t>
  </si>
  <si>
    <t>Other Support Service(s)</t>
  </si>
  <si>
    <t>Number of Preschool Classrooms per Child Care Center Facility</t>
  </si>
  <si>
    <t>Number of Preschool Classrooms per Public PreK Facility</t>
  </si>
  <si>
    <t>Number of Preschool Classrooms per Head Start Facility</t>
  </si>
  <si>
    <t>Subtotal: Number of Preschool Classes Required to Service Slot Plan</t>
  </si>
  <si>
    <t>Subtotal: Average Class Size</t>
  </si>
  <si>
    <t>Maximum Number of Children per Classroom Adult</t>
  </si>
  <si>
    <t>Number of Classes per Day per Adult Teaching Staff Member</t>
  </si>
  <si>
    <t>Part Day (Each Classroom Can Accommodate 2 Classes per Day)</t>
  </si>
  <si>
    <t>Full Day (Each Classroom Can Accommodate 1 Class per Day)</t>
  </si>
  <si>
    <t>Extended Day (Each Classroom Can Accommodate 1 Class per Day)</t>
  </si>
  <si>
    <t>Cumulative Number of Part Day Classes Required</t>
  </si>
  <si>
    <t>Cumulative Number of Full Day Classes Required</t>
  </si>
  <si>
    <t>Cumulative Number of Extended Day Classes Required</t>
  </si>
  <si>
    <t>Cumulative Number of 3- and 4-year-old Slots</t>
  </si>
  <si>
    <t>Number of Child Care Centers Required</t>
  </si>
  <si>
    <t>Number of Public PreK Sites Required</t>
  </si>
  <si>
    <t>Number of Head Start Sites Required</t>
  </si>
  <si>
    <t>Subtotal: Public PreK Slots</t>
  </si>
  <si>
    <t>Subtotal: Child Care Center Classes</t>
  </si>
  <si>
    <t>Subtotal: Public PreK Classes</t>
  </si>
  <si>
    <t>Subtotal: Head Start Classes</t>
  </si>
  <si>
    <t>Total Preschool Classes</t>
  </si>
  <si>
    <t>Subtotal: Child Care Center Classrooms</t>
  </si>
  <si>
    <t>Subtotal: Public PreK Classrooms</t>
  </si>
  <si>
    <t>Subtotal: Head Start Classrooms</t>
  </si>
  <si>
    <t>Total Preschool Classrooms</t>
  </si>
  <si>
    <t>Subtotal: Child Care Center Teachers</t>
  </si>
  <si>
    <t>Subtotal: Public PreK Teachers</t>
  </si>
  <si>
    <t>Subtotal: Head Start Teachers</t>
  </si>
  <si>
    <t>Total Preschool Teachers</t>
  </si>
  <si>
    <t>Child Care Centers: Part Day Slots</t>
  </si>
  <si>
    <t>Child Care Centers: Full Day Slots</t>
  </si>
  <si>
    <t>Child Care Centers: Extended Day Slots</t>
  </si>
  <si>
    <t>Public PreK: Part Day Slots</t>
  </si>
  <si>
    <t>Public PreK: Full Day Slots</t>
  </si>
  <si>
    <t>Public PreK: Extended Day Slots</t>
  </si>
  <si>
    <t>Head Start: Part Day Slots</t>
  </si>
  <si>
    <t>Full Day Slots</t>
  </si>
  <si>
    <t>Extended Day Slots</t>
  </si>
  <si>
    <t>Total Part Day Slots</t>
  </si>
  <si>
    <t>Total Full Day Slots</t>
  </si>
  <si>
    <t>Total Extended Day Slots</t>
  </si>
  <si>
    <t>Child Care Centers: Part Day Classes</t>
  </si>
  <si>
    <t>Child Care Centers: Full Day Classes</t>
  </si>
  <si>
    <t>Child Care Centers: Extended Day Classes</t>
  </si>
  <si>
    <t>Public PreK: Part Day Classes</t>
  </si>
  <si>
    <t>Public PreK: Full Day Classes</t>
  </si>
  <si>
    <t>Public PreK: Extended Day Classes</t>
  </si>
  <si>
    <t>Head Start: Part Day Classes</t>
  </si>
  <si>
    <t>Total Part Day Classes</t>
  </si>
  <si>
    <t>Total Full Day Classes</t>
  </si>
  <si>
    <t>Total Extended Day Classes</t>
  </si>
  <si>
    <t>Public PreK: Part Day Classrooms</t>
  </si>
  <si>
    <t>Public PreK: Full Day Classrooms</t>
  </si>
  <si>
    <t>Public PreK: Extended Day Classrooms</t>
  </si>
  <si>
    <t>Head Start: Part Day Classrooms</t>
  </si>
  <si>
    <t>Total Part Day Classrooms</t>
  </si>
  <si>
    <t>Total Full Day Classrooms</t>
  </si>
  <si>
    <t>Total Extended Day Classrooms</t>
  </si>
  <si>
    <t>Child Care Centers: Part Day Teachers</t>
  </si>
  <si>
    <t>Child Care Centers: Full Day Teachers</t>
  </si>
  <si>
    <t>Child Care Centers: Extended Day Teachers</t>
  </si>
  <si>
    <t>Public PreK: Part Day Teachers</t>
  </si>
  <si>
    <t>Public PreK: Full Day Teachers</t>
  </si>
  <si>
    <t>Public PreK: Extended Day Teachers</t>
  </si>
  <si>
    <t>Head Start: Part Day Teachers</t>
  </si>
  <si>
    <t>Total Part Day Teachers</t>
  </si>
  <si>
    <t>Total Full Day Teachers</t>
  </si>
  <si>
    <t>Total Extended Day Teachers</t>
  </si>
  <si>
    <t>Child Care Centers: Part Day Assistant Teachers</t>
  </si>
  <si>
    <t>Child Care Centers: Full Day Assistant Teachers</t>
  </si>
  <si>
    <t>Child Care Centers: Extended Day Assistant Teachers</t>
  </si>
  <si>
    <t>Subtotal: Child Care Center Assistant Teachers</t>
  </si>
  <si>
    <t>Public PreK: Part Day Assistant Teachers</t>
  </si>
  <si>
    <t>Public PreK: Full Day Assistant Teachers</t>
  </si>
  <si>
    <t>Public PreK: Extended Day Assistant Teachers</t>
  </si>
  <si>
    <t>Subtotal: Public PreK Assistant Teachers</t>
  </si>
  <si>
    <t>Head Start: Part Day Assistant Teachers</t>
  </si>
  <si>
    <t>Subtotal: Head Start Assistant Teachers</t>
  </si>
  <si>
    <t>Total Preschool Assistant Teachers</t>
  </si>
  <si>
    <t>Total Part Day Assistant Teachers</t>
  </si>
  <si>
    <t>Total Full Day Assistant Teachers</t>
  </si>
  <si>
    <t>Total Extended Day Assistant Teachers</t>
  </si>
  <si>
    <r>
      <t xml:space="preserve">Instructions:  Enter information and assumptions in </t>
    </r>
    <r>
      <rPr>
        <b/>
        <i/>
        <u/>
        <sz val="12"/>
        <color rgb="FFFFFF99"/>
        <rFont val="Calibri"/>
        <family val="2"/>
        <scheme val="minor"/>
      </rPr>
      <t>yellow-shaded</t>
    </r>
    <r>
      <rPr>
        <b/>
        <i/>
        <sz val="12"/>
        <color theme="0"/>
        <rFont val="Calibri"/>
        <family val="2"/>
        <scheme val="minor"/>
      </rPr>
      <t xml:space="preserve"> cells only.  To add another scenario, copy and paste Columns D-P in the columns to the right (and perform similar copy-and-paste for all other worksheets)</t>
    </r>
  </si>
  <si>
    <t>Subtotal: Number of Teachers Required to Service Slot Plan</t>
  </si>
  <si>
    <t>Subtotal: Number of Assistant Teachers Required to Service Slot Plan</t>
  </si>
  <si>
    <t>Subtotal: Cumulative Number of Sites Required to Service Slot Plan</t>
  </si>
  <si>
    <t>Subtotal: Cumulative % of All Preschool Sites Participating in Ratings and Monitoring</t>
  </si>
  <si>
    <t>Frequency of Site Visits for Ratings and Monitoring (in Years Between Visits)</t>
  </si>
  <si>
    <t>5. Teacher Degree (Benchmark: BA Degree)</t>
  </si>
  <si>
    <t>6. Teacher Specialized Training (Benchmark: Specializing in Pre-K)</t>
  </si>
  <si>
    <t>7. Assistant Teacher Degree (Benchmark: CDA or Equivalent)</t>
  </si>
  <si>
    <t>Subtotal: % of All Teachers with a BA Degree of Higher</t>
  </si>
  <si>
    <t>Subtotal: % of All Teachers with an ECE Credential</t>
  </si>
  <si>
    <t>Subtotal: Cost of ECE Tuition Support Program</t>
  </si>
  <si>
    <t>Subtotal: Cost of BA Tuition Support Program</t>
  </si>
  <si>
    <t>Subtotal: Number of Assistant Teachers Participating in CDA Tuition Support Program</t>
  </si>
  <si>
    <t>Subtotal: Cost of CDA Tuition Support Program</t>
  </si>
  <si>
    <t>Cost/Participating Child ($)</t>
  </si>
  <si>
    <t>Curriculum Costs per Classroom: High Scope</t>
  </si>
  <si>
    <t>Materials</t>
  </si>
  <si>
    <t>Initial Training</t>
  </si>
  <si>
    <t>Curriculum Costs per Classroom: Creative Curriculum</t>
  </si>
  <si>
    <t>Curriculum Costs per Classroom: Layered Curriculum Approach</t>
  </si>
  <si>
    <t>Subtotal: Curriculum Standards Cost ($)</t>
  </si>
  <si>
    <t>Subtotal: Cumulative Preschool Slots</t>
  </si>
  <si>
    <t>Subtotal: Baseline Administrative Cost ($)</t>
  </si>
  <si>
    <t>One-Time Training Cost per Coach (Coaches Training)</t>
  </si>
  <si>
    <t>Entry Schedule: % of Existing Coaches in Year 0 Trained In Each Subsequent Year</t>
  </si>
  <si>
    <t>Subtotal: Cost of Technical Assistance</t>
  </si>
  <si>
    <t>Subtotal: Cost of Site Visits ($)</t>
  </si>
  <si>
    <t>Subtotal: Cost of Site Visits (See NIEER Standard #4, Above)</t>
  </si>
  <si>
    <t>Subtotal: Cost of Program Evaluation</t>
  </si>
  <si>
    <t>Subtotal: Capacity Building Funds ($)</t>
  </si>
  <si>
    <t>Other System Supports Costs ($)</t>
  </si>
  <si>
    <t>Information Technology ($)</t>
  </si>
  <si>
    <t>Data Systems ($)</t>
  </si>
  <si>
    <t>Marketing and Communications ($)</t>
  </si>
  <si>
    <t>Subtotal: System Support Costs ($)</t>
  </si>
  <si>
    <t>Capacity Building Funds as a % of Total State-Level Infrastructure and Supports Cost ($)</t>
  </si>
  <si>
    <t>Baseline Admin Cost as a % of Total State-Level Infrastructure and Supports Cost ($)</t>
  </si>
  <si>
    <t>Curriculum Standards Cost as a % of Total State-Level Infrastructure and Supports Cost ($)</t>
  </si>
  <si>
    <t>Ratings &amp; Monitoring Cost as a % of Total State-Level Infrastructure and Supports Cost ($)</t>
  </si>
  <si>
    <t>Supports Systems Cost as a % of Total State-Level Infrastructure and Supports Cost ($)</t>
  </si>
  <si>
    <t>Technical Assistance Cost as a % of Total State-Level Infrastructure and Supports Cost ($)</t>
  </si>
  <si>
    <t>Technical Assistance Cost as a % of Total State-Level Costs, Excluding Program Evaluation</t>
  </si>
  <si>
    <t>Program Evaluation Cost as a % of Total State Costs, Excluding Technical Assistance</t>
  </si>
  <si>
    <t>Program Evaluation Cost as a % of Total State-Level Infrastructure and Supports Cost ($)</t>
  </si>
  <si>
    <t>Education Supplies</t>
  </si>
  <si>
    <t>Education Equipment</t>
  </si>
  <si>
    <t>Miscellaneous</t>
  </si>
  <si>
    <t>Postage</t>
  </si>
  <si>
    <t>Advertising</t>
  </si>
  <si>
    <t>Rent /Lease/Mortgage (incl RE taxes)</t>
  </si>
  <si>
    <t>Utilities (electricity, heat/cool, water/sewer)</t>
  </si>
  <si>
    <t>Building Insurance</t>
  </si>
  <si>
    <t>Maintenance/Repair/Cleaning/Yardwork</t>
  </si>
  <si>
    <t>Office Equipment</t>
  </si>
  <si>
    <t>Annual Cost for Telephone &amp; Internet</t>
  </si>
  <si>
    <t>Insurance (Liability, Accident, etc.)</t>
  </si>
  <si>
    <t>Operations: Annual Per Child Costs ($)</t>
  </si>
  <si>
    <t>Office Supplies</t>
  </si>
  <si>
    <t>Annual Audit, Accounting and Legal Costs</t>
  </si>
  <si>
    <t>Annual Cost for Fees/Permits</t>
  </si>
  <si>
    <t>Cost per Square Foot ($)</t>
  </si>
  <si>
    <t>Occupancy: Annual per Classroom Costs</t>
  </si>
  <si>
    <t>By Delivery Model By Dosage</t>
  </si>
  <si>
    <t>Food &amp; Food Prep (See NIEER Standard #9, and Preschool Dosage Plan, Above)</t>
  </si>
  <si>
    <t>Kitchen Supplies (See NIEER Standard #9, and Preschool Dosage Plan, Above)</t>
  </si>
  <si>
    <r>
      <t>Consultants/Training/PD (</t>
    </r>
    <r>
      <rPr>
        <u/>
        <sz val="11"/>
        <color theme="1"/>
        <rFont val="Calibri"/>
        <family val="2"/>
        <scheme val="minor"/>
      </rPr>
      <t>Incremental</t>
    </r>
    <r>
      <rPr>
        <sz val="11"/>
        <color theme="1"/>
        <rFont val="Calibri"/>
        <family val="2"/>
        <scheme val="minor"/>
      </rPr>
      <t xml:space="preserve"> to NIEER Standards #5-8, Above)</t>
    </r>
  </si>
  <si>
    <t>By Dosage</t>
  </si>
  <si>
    <t>Cost per Item</t>
  </si>
  <si>
    <t>Number of Items</t>
  </si>
  <si>
    <t>Chairs</t>
  </si>
  <si>
    <t>Soft Furnishings</t>
  </si>
  <si>
    <t>Interest Centers/Areas</t>
  </si>
  <si>
    <t>Table, Storage Unit, Workbench</t>
  </si>
  <si>
    <t>Gross Motor Skills Equipment: Tunnel, Trike, Balls, Hoops, Rope, etc.</t>
  </si>
  <si>
    <t>Books</t>
  </si>
  <si>
    <t>Language Materials</t>
  </si>
  <si>
    <t>Fine-Motor Materials</t>
  </si>
  <si>
    <t>Art Materials</t>
  </si>
  <si>
    <t>Music Materials</t>
  </si>
  <si>
    <t>Block Set Accessories</t>
  </si>
  <si>
    <t>Block Set</t>
  </si>
  <si>
    <t>Sand/Water Table</t>
  </si>
  <si>
    <t>Dramatic Play Materials</t>
  </si>
  <si>
    <t>Nature/Science Materials</t>
  </si>
  <si>
    <t>Math Materials</t>
  </si>
  <si>
    <t>Materials Showing Racial/Cultural Diversity</t>
  </si>
  <si>
    <t>Useful Life (in Years Between Replacement)</t>
  </si>
  <si>
    <t>Maximum Number of Preschool Children per Class</t>
  </si>
  <si>
    <t>Annual Salary</t>
  </si>
  <si>
    <t>Mandatory Benefits (FICA, Unemployment, Workers Comp/Industrial Insurance)</t>
  </si>
  <si>
    <t>Training Fees per Teacher per Hour</t>
  </si>
  <si>
    <t>Substitute Teacher Wages per Hour</t>
  </si>
  <si>
    <t>Inflation Factor</t>
  </si>
  <si>
    <t>Additional Benefit Contributions per Preschool Staff FTE</t>
  </si>
  <si>
    <t>Purchase of ERS-Related Items (Per Classroom)</t>
  </si>
  <si>
    <t>Initial Purchase Price</t>
  </si>
  <si>
    <t>Subtotal: Purchase Cost of ERS-Related Items (per Classroom)</t>
  </si>
  <si>
    <t>Subtotal: Annualized Cost of ERS-Related Items (per Classroom)</t>
  </si>
  <si>
    <t>Contribution to Operating Reserve  (% of Total Provider-Level Expenses I, II, and III, Above)</t>
  </si>
  <si>
    <t>State</t>
  </si>
  <si>
    <t>Population Forecast: (3- and 4-year olds)</t>
  </si>
  <si>
    <t>Alabama, AL</t>
  </si>
  <si>
    <t>Alaska, AK</t>
  </si>
  <si>
    <t>Arizona, AZ</t>
  </si>
  <si>
    <t>Arkansas, AR</t>
  </si>
  <si>
    <t>California, CA</t>
  </si>
  <si>
    <t>Colorado, CO</t>
  </si>
  <si>
    <t>Connecticut, CT</t>
  </si>
  <si>
    <t>Delaware, DE</t>
  </si>
  <si>
    <t>Florida, FL</t>
  </si>
  <si>
    <t>Georgia, GA</t>
  </si>
  <si>
    <t>Hawaii, HI</t>
  </si>
  <si>
    <t>Idaho, ID</t>
  </si>
  <si>
    <t>Illinois, IL</t>
  </si>
  <si>
    <t>Indiana, IN</t>
  </si>
  <si>
    <t>Iowa, IA</t>
  </si>
  <si>
    <t>Kansas, KS</t>
  </si>
  <si>
    <t>Kentucky, KY</t>
  </si>
  <si>
    <t>Louisiana, LA</t>
  </si>
  <si>
    <t>Maine, ME</t>
  </si>
  <si>
    <t>Maryland, MD</t>
  </si>
  <si>
    <t>Massachusetts, MA</t>
  </si>
  <si>
    <t>Michigan, MI</t>
  </si>
  <si>
    <t>Minnesota, MN</t>
  </si>
  <si>
    <t>Mississippi, MS</t>
  </si>
  <si>
    <t>Missouri, MO</t>
  </si>
  <si>
    <t>Montana, MT</t>
  </si>
  <si>
    <t>Nebraska, NE</t>
  </si>
  <si>
    <t>Nevada, NV</t>
  </si>
  <si>
    <t>New Hampshire, NH</t>
  </si>
  <si>
    <t>New Jersey, NJ</t>
  </si>
  <si>
    <t>New Mexico, NM</t>
  </si>
  <si>
    <t>New York, NY</t>
  </si>
  <si>
    <t>North Carolina, NC</t>
  </si>
  <si>
    <t>North Dakota, ND</t>
  </si>
  <si>
    <t>Ohio, OH</t>
  </si>
  <si>
    <t>Oklahoma, OK</t>
  </si>
  <si>
    <t>Oregon, OR</t>
  </si>
  <si>
    <t>Pennsylvania, PA</t>
  </si>
  <si>
    <t>Rhode Island, RI</t>
  </si>
  <si>
    <t>South Carolina, SC</t>
  </si>
  <si>
    <t>South Dakota, SD</t>
  </si>
  <si>
    <t>Tennessee, TN</t>
  </si>
  <si>
    <t>Texas, TX</t>
  </si>
  <si>
    <t>Utah, UT</t>
  </si>
  <si>
    <t>Vermont, VT</t>
  </si>
  <si>
    <t>Virginia, VA</t>
  </si>
  <si>
    <t>Washington, WA</t>
  </si>
  <si>
    <t>West Virginia, WV</t>
  </si>
  <si>
    <t>Wisconsin, WI</t>
  </si>
  <si>
    <t>Wyoming, WY</t>
  </si>
  <si>
    <t>Annual State-Level Cost per Participant to Administrate CDA Tuition Support ($)</t>
  </si>
  <si>
    <t>Cost per Site Visit for State-Level Administration of Monitoring Program ($)</t>
  </si>
  <si>
    <t>Cost per Site Visit, Including Monitoring and/or Rating Cost ($)</t>
  </si>
  <si>
    <t>Cost per Classroom for State-Level Monitoring &amp; Oversight of Curriculum Standards ($)</t>
  </si>
  <si>
    <t>Table B.1:  Model Outputs and Key Performance Metrics</t>
  </si>
  <si>
    <t>Table B.2.b:  NIEER Preschool Quality Standards and Benchmarks</t>
  </si>
  <si>
    <t>Table B.2.c:  State-Level Infrastructure &amp; Supports</t>
  </si>
  <si>
    <t>Table B.2.d:  Provider-Level Direct &amp; Indirect Services</t>
  </si>
  <si>
    <t>Table D.3:  Number of Classes by Dosage by Delivery Model</t>
  </si>
  <si>
    <t>Table D.4:  Number of Classrooms Required by Dosage by Delivery Model</t>
  </si>
  <si>
    <t>Table D.5:  Number of Teachers Required by Dosage by Delivery Model</t>
  </si>
  <si>
    <t>Table D.6:  Number of Assistant Teachers Required by Dosage by Delivery Model</t>
  </si>
  <si>
    <t>Instructions:  To add another scenario, copy and paste Columns D-P in the same columns to the right as performed in Sheet B (i.e., the columns should line up)</t>
  </si>
  <si>
    <t>1. Annual Inflation Factor on Unit Costs (Use 0% to Model Real vs. Nominal Dollars)</t>
  </si>
  <si>
    <t>2. Baseline Administrative Cost</t>
  </si>
  <si>
    <t>3. Curriculum Standards</t>
  </si>
  <si>
    <t>5. Ratings &amp; Monitoring</t>
  </si>
  <si>
    <t>6. Professional Development</t>
  </si>
  <si>
    <t>7. Capacity Building</t>
  </si>
  <si>
    <t>8. System Supports</t>
  </si>
  <si>
    <t>9. Technical Assistance</t>
  </si>
  <si>
    <t>10. Program Evaluation</t>
  </si>
  <si>
    <t>1. Personnel Costs</t>
  </si>
  <si>
    <t>2. Non-Personnel Costs</t>
  </si>
  <si>
    <t>3. Other Direct Costs</t>
  </si>
  <si>
    <t>4. Indirect Costs</t>
  </si>
  <si>
    <t>1. Early Learning Standards</t>
  </si>
  <si>
    <t>5. Teacher Degree</t>
  </si>
  <si>
    <t>6. Teacher Specialized Training</t>
  </si>
  <si>
    <t>7. Assistant Teacher Degree</t>
  </si>
  <si>
    <t>Assumptions Complete?</t>
  </si>
  <si>
    <t>2. Maximum Class Size</t>
  </si>
  <si>
    <t>3. Staff-Child Ratio</t>
  </si>
  <si>
    <t>4. Monitoring</t>
  </si>
  <si>
    <t>8. Teacher In-Service</t>
  </si>
  <si>
    <t>9. Child Meals</t>
  </si>
  <si>
    <t>10. Screening/Referral and Support Services</t>
  </si>
  <si>
    <t>2. Maximum Class Size (Benchmark: 20 Children per Class or Lower)</t>
  </si>
  <si>
    <t>3. Staff-Child Ratio (Benchmark: One Classroom Adult per 10 Children or Better)</t>
  </si>
  <si>
    <t>4. Monitoring (Benchmark: Site Visits at Least Once Every Five Years)</t>
  </si>
  <si>
    <t>8. Teacher In-Service (Benchmark: At Least 15 hours of Training per Year)</t>
  </si>
  <si>
    <t>9. Child Meals (Benchmark: At Least One Meal per Day)</t>
  </si>
  <si>
    <t>Cost Tool Assumptions Index</t>
  </si>
  <si>
    <t>User Notes</t>
  </si>
  <si>
    <t>[Enter Notes]</t>
  </si>
  <si>
    <t>Summary Cost Tools Outputs</t>
  </si>
  <si>
    <t>Table C.2: Three- and Four-Year-Old Population Splits by FPL by State/Region/County</t>
  </si>
  <si>
    <t>% of Teachers Possessing Early Childhood Education (ECE) Credential</t>
  </si>
  <si>
    <t>% of Teachers Possessing Bachelor of Arts (BA) Degree or Higher</t>
  </si>
  <si>
    <t>% of Assistant Teachers Possessing Child Development Associate (CDA) Credential</t>
  </si>
  <si>
    <t>Total Sites</t>
  </si>
  <si>
    <t>Total Slots</t>
  </si>
  <si>
    <t>Part Day Dosage Average Cost per Slot (All Delivery Models)</t>
  </si>
  <si>
    <t>Full Day Dosage Average Cost per Slot (All Delivery Models</t>
  </si>
  <si>
    <t>Extended Day Dosage Average Cost per Slot (All Delivery Models)</t>
  </si>
  <si>
    <t>State-Level Implementation Average Cost per Slot (all Dosages and Delivery Models)</t>
  </si>
  <si>
    <t>Indirect Rate Charge (% of Total Provider-Level Expenses I, II, and III, Above)</t>
  </si>
  <si>
    <t>Yes</t>
  </si>
  <si>
    <t>Assume Lump Sum Instead?</t>
  </si>
  <si>
    <t xml:space="preserve"> </t>
  </si>
  <si>
    <t>% of BLS Statistic</t>
  </si>
  <si>
    <t>Number of Total Classrooms (All Ages) per Child Care Center Facility</t>
  </si>
  <si>
    <t>Number of Total Classrooms (All Ages) per Public PreK Facility</t>
  </si>
  <si>
    <t>Number of Total Classrooms (All Ages) per Head Start Facility</t>
  </si>
  <si>
    <t>Child Care Centers: Part Day (Each Classroom Accommodates 2 Classes per Day)</t>
  </si>
  <si>
    <t>Child Care Centers: Full Day (Each Classroom Accommodates 1 Class per Day)</t>
  </si>
  <si>
    <t>Child Care Centers: Extended Day (Each Classroom Accommodates 1 Class per Day)</t>
  </si>
  <si>
    <t>Total Number of Sites Required to Service Slot Plan</t>
  </si>
  <si>
    <t>Targeted Enrollment Efficiency: Percent of Class Size Capacity Utilized</t>
  </si>
  <si>
    <t>Table D.7:  Number of Facilities Required by Delivery Model</t>
  </si>
  <si>
    <t>Annual Number of Child Care Center Site Visits Required</t>
  </si>
  <si>
    <t>Annual Number of Public PreK Site Visits Required</t>
  </si>
  <si>
    <t>Annual Number of Head Start Site Visits Required</t>
  </si>
  <si>
    <t>Total Number of Annual Site Visits Required to Service Slot Plan</t>
  </si>
  <si>
    <t>Table D.9:  Number of Site Visits Required by Delivery Model</t>
  </si>
  <si>
    <t>Average Number of Lead Teacher FTEs Required per Child Care Center Facility</t>
  </si>
  <si>
    <t>Average Number of Lead Teacher FTEs Required per Public PreK Facility</t>
  </si>
  <si>
    <t>Average Number of Lead Teacher FTEs Required per Head Start Facility</t>
  </si>
  <si>
    <t>Average Number of Assistant Teacher FTEs Required per Child Care Center Facility</t>
  </si>
  <si>
    <t>Average Number of Assistant Teacher FTEs Required per Public PreK Facility</t>
  </si>
  <si>
    <t>Average Number of Assistant Teacher FTEs Required per Head Start Facility</t>
  </si>
  <si>
    <t>Preschool FTE Allocation</t>
  </si>
  <si>
    <t>Site FTE levels</t>
  </si>
  <si>
    <t>Min. Site Staffing (FTEs)</t>
  </si>
  <si>
    <t>Max. Staffing FTE (Site)</t>
  </si>
  <si>
    <t>Staffing Threshold (Classrms)</t>
  </si>
  <si>
    <t>Staffing Increment (FTE)</t>
  </si>
  <si>
    <t>Preschool Salary Allocation</t>
  </si>
  <si>
    <t>Substitute Teacher Wages per Hour (See NIEER Standard #8, Above)</t>
  </si>
  <si>
    <t>Subtotal: Annual Per Child Operations Costs</t>
  </si>
  <si>
    <t>Part-Day</t>
  </si>
  <si>
    <t>Full-Day</t>
  </si>
  <si>
    <t>Ext. Day</t>
  </si>
  <si>
    <t>Child Assessment Costs (per Child)</t>
  </si>
  <si>
    <t>Effective Square-Feet per Child (based on Expected Class Size)</t>
  </si>
  <si>
    <t>Child Transportation (Includes Vehicle, Maintenance, Insurance, Drivers, etc.)</t>
  </si>
  <si>
    <t>Screening/Referral &amp; Support Services Costs per Child (See NIEER Standard #10, Above)</t>
  </si>
  <si>
    <t>Assistant Director (Education Administrators, Preschool and CCC/Program, SOC 11-9031)</t>
  </si>
  <si>
    <t>Director (Education Administrators, Preschool and Child Care Center/Program, SOC 11-9031)</t>
  </si>
  <si>
    <t>Lead Preschool Teacher: Preschool Teachers, Except Special Education, SOC 25-2011)</t>
  </si>
  <si>
    <t>Assistant Preschool Teacher (Child Care Workers, SOC 39-9011)</t>
  </si>
  <si>
    <t>Floater-Assistants (Child Care Workers, SOC 39-9011)</t>
  </si>
  <si>
    <t>% of PIR Statistic</t>
  </si>
  <si>
    <t>Principal (Education Administrators, Elementary and Secondary School, SOC 11-9032)</t>
  </si>
  <si>
    <t>Lead Preschool Teacher (Kindergarten Teachers, Except Special Education, SOC 25-2012)</t>
  </si>
  <si>
    <t>Assistant Preschool Teacher (Kindergarten Teachers, Except Special Education, SOC 25-2012)</t>
  </si>
  <si>
    <t>Assistant Principal (Education Administrators, Elementary and Secondary School, SOC 11-9032)</t>
  </si>
  <si>
    <t>Executive Director (2013-2014 Head Start PIR)</t>
  </si>
  <si>
    <t>Head Start Director (2013-2014 Head Start PIR)</t>
  </si>
  <si>
    <t>Child Development and Education Manager (2013-2014 Head Start PIR)</t>
  </si>
  <si>
    <t>Health Services Manager (2013-2014 Head Start PIR)</t>
  </si>
  <si>
    <t>Family and Community Partnerships Managers (2013-2014 Head Start PIR)</t>
  </si>
  <si>
    <t>Disability Services Manager (2013-2014 Head Start PIR)</t>
  </si>
  <si>
    <t>Fiscal Officer (2013-2014 Head Start PIR)</t>
  </si>
  <si>
    <t>Mental Health Professional (2013-2014 Head Start PIR)</t>
  </si>
  <si>
    <t>Preschool Classroom Teacher (2013-2014 Head Start PIR)</t>
  </si>
  <si>
    <t>Assistant Preschool Classroom Teacher (2013-2014 Head Start PIR)</t>
  </si>
  <si>
    <t>Kitchen Supplies Cost per Child per Day</t>
  </si>
  <si>
    <t>Development of Comprehensive Early Learning Standards ($)</t>
  </si>
  <si>
    <t>1. Program Development (Benchmark: Comprehensive Early Learning Standards)</t>
  </si>
  <si>
    <t>Other Program Development Costs ($)</t>
  </si>
  <si>
    <t>4. Coaching</t>
  </si>
  <si>
    <t>Caseload: Number of Classrooms per Coach (1 FTE)</t>
  </si>
  <si>
    <t>Coaches Salary, Benefits, Travel, and Overhead/Indirect Charges (1 FTE)</t>
  </si>
  <si>
    <t>Other Costs per Coach for State-Level Monitoring &amp; Oversight of Coaching Program ($)</t>
  </si>
  <si>
    <t>Coaching Cost as a % of Total State-Level Infrastructure and Supports Cost ($)</t>
  </si>
  <si>
    <t>Maximum Number of Lead Teachers per Class</t>
  </si>
  <si>
    <t>Assume Substitute Costs as % of Total Teaching Salaries Instead?</t>
  </si>
  <si>
    <t>Assume Additional Benefits as % of Annual Salary Instead?</t>
  </si>
  <si>
    <t>Subtotal: Substitute Teaching Costs per Teaching Staff FTE (for Vacation/Sick Days) per Year</t>
  </si>
  <si>
    <t>System:</t>
  </si>
  <si>
    <t>3- and 4-year-old Population At or Below FPL Threshold within State/Region</t>
  </si>
  <si>
    <t>Subtotal: Program Development Costs</t>
  </si>
  <si>
    <t>Total Slots Targeting Income Eligible 3- and 4-year-olds</t>
  </si>
  <si>
    <t>Subtotal: Percent of Income Eligible 3- and 4-year-old Population Addressed</t>
  </si>
  <si>
    <t>Table D.1:  Slot Plan by Dosage by Delivery Model</t>
  </si>
  <si>
    <t>Table D.2:  Addressable Child Population</t>
  </si>
  <si>
    <t>% of Slots Allocated to English Language Learners (ELL)</t>
  </si>
  <si>
    <t>Total Slots Targeting ELL Eligible 3- and 4-year-olds</t>
  </si>
  <si>
    <t>3- and 4-year-old ELL Population within State/Region</t>
  </si>
  <si>
    <t>Subtotal: Percent of ELL Eligible 3- and 4-year-old Population Addressed</t>
  </si>
  <si>
    <t>% of Slots Allocated to 3- and 4-year-olds with Special Needs</t>
  </si>
  <si>
    <t>Population of 3- and 4-year-olds with Special Needs within State/Region</t>
  </si>
  <si>
    <t>Total Slots Targeting 3- and 4-year-olds with Special Needs</t>
  </si>
  <si>
    <t>% of Slots Allocated to 3- and 4-year-olds in Rural Areas</t>
  </si>
  <si>
    <t>Total Slots Targeting 3- and 4-year-olds in Rural Areas</t>
  </si>
  <si>
    <t>Population of 3- and 4-year-olds in Rural Areas within State/Region</t>
  </si>
  <si>
    <t>Subtotal: Percent of Rural 3- and 4-year-old Population Addressed</t>
  </si>
  <si>
    <t>Head Start: Full Day Teachers</t>
  </si>
  <si>
    <t>Head Start: Extended Day Teachers</t>
  </si>
  <si>
    <t>Cumulative Ratings and Monitoring Participation Rate (%): Child Care Centers</t>
  </si>
  <si>
    <t>Cumulative Ratings and Monitoring Participation Rate (%): Public PreK Sites</t>
  </si>
  <si>
    <t>Cumulative Ratings and Monitoring Participation Rate (%): Head Start Sites</t>
  </si>
  <si>
    <t>Subtotal: Annual Site Visits for Ratings and Monitoring</t>
  </si>
  <si>
    <t>% of Participating Teachers without AA degrees (Year 0)</t>
  </si>
  <si>
    <t>Cumulative Number of Teachers Required to Satisfy Annual Slot Plan</t>
  </si>
  <si>
    <t>Cumulative Number of Additional Teachers (Years 1+) Required, Before Churn</t>
  </si>
  <si>
    <t>Total Number of Pre-Existing Teachers (i.e., from Year 0), Before Churn</t>
  </si>
  <si>
    <t>Total Pre-Existing Teachers (i.e., from Year 0), After Churn</t>
  </si>
  <si>
    <t>Net Number of New Teachers Required per Year, After Churn</t>
  </si>
  <si>
    <t>Attrition Among Pre-Existing Teachers Awarded BA degrees Under Tuition Support</t>
  </si>
  <si>
    <t>Total BA degrees Awarded to Pre-Existing Teachers with AA degrees Under Tuition Support</t>
  </si>
  <si>
    <t>Net Increase in BA degrees Among Pre-Existing Teachers</t>
  </si>
  <si>
    <t>B. Pre-Existing Teachers without an AA degree Participating in Tuition Support</t>
  </si>
  <si>
    <t>C. New Teachers Hired, with an AA degree, Participating in Tuition Support</t>
  </si>
  <si>
    <t>D. New Teachers Hired, without an AA degree, Participating in Tuition Support</t>
  </si>
  <si>
    <t>Entry Schedule: Participating Teachers by # of Years in BA Program, After Churn</t>
  </si>
  <si>
    <t>Total BA degrees Awarded to New Teachers, Hired with AA degrees, Under Tuition Support</t>
  </si>
  <si>
    <t>Attrition Among New Teachers Awarded BA degrees Under Tuition Support</t>
  </si>
  <si>
    <t>Net Increase in BA degrees Among New Teachers Hired to Satisfy Annual Slot Plan</t>
  </si>
  <si>
    <t>Total BA degrees Awarded to New Teachers, Hired without AA degrees, Under Tuition Support</t>
  </si>
  <si>
    <t>Participating New Teachers by Year of Attendance in BA Program, After Churn</t>
  </si>
  <si>
    <t>A. Pre-Existing Teachers with an AA degree Participating in Tuition Support</t>
  </si>
  <si>
    <t>Total Teachers without an AA degree Receiving Tuition Support (Pro-Rated for Partial Years)</t>
  </si>
  <si>
    <t>Total Teachers with an AA degree Receiving Tuition Support (Pro-Rated for Partial Years)</t>
  </si>
  <si>
    <t>% of Teachers Possessing a BA degree, Excluding Tuition Support Program</t>
  </si>
  <si>
    <t>Total BA degrees Awarded to Pre-Existing Teachers without AA degrees Under Tuition Support</t>
  </si>
  <si>
    <t>Summary Statistics on Teacher Tuition Support</t>
  </si>
  <si>
    <t>Entry Schedule of Pre-Existing Teachers into Tuition Support Program, After Churn</t>
  </si>
  <si>
    <t>Participating Pre-Existing Teachers by Year of Entry (Schedule) into BA Program, After Churn</t>
  </si>
  <si>
    <t>Total New Teachers with an AA degree Receiving Tuition Support (Pro-Rated for Partial Years)</t>
  </si>
  <si>
    <t>Total Number of Teachers Possessing a BA degree or Higher without Tuition Support</t>
  </si>
  <si>
    <t>Total Number of Teachers Receiving Tuition Support</t>
  </si>
  <si>
    <t>A. Pre-Existing Teachers Participating in Specialized Training</t>
  </si>
  <si>
    <t>Subtotal: Number of Teachers without ECE Credential (Year 0)</t>
  </si>
  <si>
    <t>Entry Schedule of Pre-Existing Teachers into Specialized Training After Churn</t>
  </si>
  <si>
    <t>Total Pre-Existing Teachers Participating in Specialized Training (Pro-Rated for Partial Years)</t>
  </si>
  <si>
    <t>Total New Teachers Participating in Specialized Training (Pro-Rated for Partial Years)</t>
  </si>
  <si>
    <t>Total ECE Credentials Awarded to New Teachers After Specialized Training</t>
  </si>
  <si>
    <t>Total ECE Credentials Awarded to Pre-Existing Teachers After Specialized Training</t>
  </si>
  <si>
    <t>Attrition Among Pre-Existing Teachers Awarded ECE Credentials After Specialized Training</t>
  </si>
  <si>
    <t>Net Increase in ECE Credentials Among Pre-Existing Teachers</t>
  </si>
  <si>
    <t>Attrition Among New Teachers Awarded ECE Credentials After Specialized Training</t>
  </si>
  <si>
    <t>Net Increase in ECE Credentials Among New Teachers</t>
  </si>
  <si>
    <t>Summary Statistics on Teacher Specialized Training</t>
  </si>
  <si>
    <t>% of Teachers Possessing ECE Credentials, Excluding Specialized Training Program</t>
  </si>
  <si>
    <t>Total Number of Teachers Receiving Specialized Training</t>
  </si>
  <si>
    <t>Subtotal: Number of Teachers Participating in Specialized Training Program</t>
  </si>
  <si>
    <t>Total Number of Teachers Possessing ECE Credentials without Specialized Training Program</t>
  </si>
  <si>
    <t>Subtotal: Number of Assistant Teachers with a CDA Credential or higher (Year 0)</t>
  </si>
  <si>
    <t>Cumulative Number of Assistant Teachers Required to Satisfy Annual Slot Plan</t>
  </si>
  <si>
    <t>Total Number of Pre-Existing Assistant Teachers (i.e., from Year 0), Before Churn</t>
  </si>
  <si>
    <t>Total Pre-Existing Assistant Teachers (i.e., from Year 0), After Churn</t>
  </si>
  <si>
    <t>Entry Schedule of Pre-Existing Assistant Teachers into Tuition Support Program, After Churn</t>
  </si>
  <si>
    <t>Cumulative Number of Additional Assistant Teachers (Years 1+) Required, Before Churn</t>
  </si>
  <si>
    <t>Net Number of New Assistant Teachers Required per Year, After Churn</t>
  </si>
  <si>
    <t>A. Pre-Existing Assistant Teachers Participating in Tuition Support</t>
  </si>
  <si>
    <t>Pre-Existing Assistant Teachers by Year of Entry (Schedule) into CDA Program, After Churn</t>
  </si>
  <si>
    <t>Total Assistant Teachers with Receiving Tuition Support (Pro-Rated for Partial Years)</t>
  </si>
  <si>
    <t>Total CDA Credential Awarded to Pre-Existing Assistant Teachers Under Tuition Support</t>
  </si>
  <si>
    <t>Attrition Among Pre-Existing Assistant Teachers Awarded CDA Credentials</t>
  </si>
  <si>
    <t>Net Increase in CDA Credentials Among Pre-Existing Assistant Teachers</t>
  </si>
  <si>
    <t>Participating New Assistant Teachers by Year of Attendance in CDA Program, After Churn</t>
  </si>
  <si>
    <t>Total New Assistant Teachers Receiving Tuition Support (Pro-Rated for Partial Years)</t>
  </si>
  <si>
    <t>Attrition Among New Assistant Teachers Awarded CDA Credentials Under Tuition Support</t>
  </si>
  <si>
    <t>Total CDA Credentials Awarded to New Assistant Teachers Under Tuition Support</t>
  </si>
  <si>
    <t>Net Increase in CDA Credentials Among Assistant Teachers Hired to Satisfy Annual Slot Plan</t>
  </si>
  <si>
    <t>B. New Teachers Hired Participating in Specialized Training</t>
  </si>
  <si>
    <t>B. New Assistant Teachers Hired Participating in Tuition Support</t>
  </si>
  <si>
    <t>Summary Statistics on Assistant Teacher Tuition Support</t>
  </si>
  <si>
    <t>% of Assistant Teachers Possessing a CDA Credential, Excluding Tuition Support Program</t>
  </si>
  <si>
    <t>Total Number of Assistant Teachers Receiving Tuition Support</t>
  </si>
  <si>
    <t>% of Assistant Teachers Possessing a CDA Credential, After Tuition Support Program</t>
  </si>
  <si>
    <t>% of Teachers Possessing a ECE Credentials, After Specialized Training Program</t>
  </si>
  <si>
    <t>% of Teachers Possessing a BA degree (or Higher), After Tuition Support Program</t>
  </si>
  <si>
    <t>Total Number of Assistant Teachers Possessing a CDA Credential without Tuition Support</t>
  </si>
  <si>
    <t>Total New Teachers without an AA degree Receiving Tuition Support (Pro-Rated for Partial Years)</t>
  </si>
  <si>
    <t>% of New Assistant Teachers without CDA Participating in Tuition Support to earn CDA (Years 1+)</t>
  </si>
  <si>
    <t>Table D.10:  Number of Child Care Center Teachers Participating in Tuition Support Program</t>
  </si>
  <si>
    <t>Table D.11:  Number of Public PreK Teachers Participating in Tuition Support Program</t>
  </si>
  <si>
    <t>Table D.12:  Number of Head Start Teachers Participating in Tuition Support Program</t>
  </si>
  <si>
    <t>Table D.13:  Number of Child Care Center Teachers Participating in Training for ECE Credential</t>
  </si>
  <si>
    <t>Table D.14:  Number of Public PreK Teachers Participating in Training for ECE Credential</t>
  </si>
  <si>
    <t>Table D.15:  Number of Head Start Teachers Participating in Training for ECE Credential</t>
  </si>
  <si>
    <t>Table D.16:  Number of Child Care Center Assistant Teachers Participating in Tuition Support</t>
  </si>
  <si>
    <t>Table D.17:  Number of Public PreK Assistant Teachers Participating in Tuition Support</t>
  </si>
  <si>
    <t>Table D.18:  Number of Head Start Assistant Teachers Participating in Tuition Support</t>
  </si>
  <si>
    <t>% of New Teachers without ECE Participating to Earn ECE Credential (Years 1+)</t>
  </si>
  <si>
    <t>Child Care Center: Teachers with BA Degree or Higher</t>
  </si>
  <si>
    <t>Public PreK: Teachers with BA Degree or Higher</t>
  </si>
  <si>
    <t>Head Start: Teachers with BA Degree or Higher</t>
  </si>
  <si>
    <t>Net Increase in BA degrees Among Teachers Receiving Tuition Support</t>
  </si>
  <si>
    <t>Net Increase in Teachers Awarded ECE Credentials After Specialized Training</t>
  </si>
  <si>
    <t>Subtotal: Number of Teachers Participating in BA Tuition Support Program per Year</t>
  </si>
  <si>
    <t>Child Care Center: Teachers with ECE Credentials</t>
  </si>
  <si>
    <t>Child Care Center: Teachers without ECE Credentials</t>
  </si>
  <si>
    <t>Public PreK: Teachers with ECE Credentials</t>
  </si>
  <si>
    <t>Public PreK: Teachers without ECE Credentials</t>
  </si>
  <si>
    <t>Head Start: Teachers with ECE Credentials</t>
  </si>
  <si>
    <t>Head Start: Teachers without ECE Credentials</t>
  </si>
  <si>
    <t>Child Care Center: Assistant Teachers with CDA (or Equivalent)</t>
  </si>
  <si>
    <t>Child Care Center: Assistant Teachers without CDA (or Equivalent)</t>
  </si>
  <si>
    <t>Public PreK: Assistant Teachers with CDA (or Equivalent)</t>
  </si>
  <si>
    <t>Public PreK: Assistant Teachers without CDA (or Equivalent)</t>
  </si>
  <si>
    <t>Head Start: Assistant Teachers with CDA (or Equivalent)</t>
  </si>
  <si>
    <t>Head Start: Assistant Teachers without CDA (or Equivalent)</t>
  </si>
  <si>
    <t>Net Increase in Assistant Teachers Achieving a CDA Credential under Tuition Support</t>
  </si>
  <si>
    <t>Subtotal: % of All Assistant Teachers with a CDA Credential (or Equivalent)</t>
  </si>
  <si>
    <t>Total Child Care Center Teachers</t>
  </si>
  <si>
    <t>Total Public PreK Teachers</t>
  </si>
  <si>
    <t>Total Head Start Teachers</t>
  </si>
  <si>
    <t>% of Assistant Teachers Possessing CDA or Equivalent (All Delivery Models)</t>
  </si>
  <si>
    <t>% of Teachers Possessing ECE Credentials (All Delivery Models)</t>
  </si>
  <si>
    <t>% of Teachers Possessing a BA degree or Higher (All Delivery Models)</t>
  </si>
  <si>
    <t>Inflation Factor (Applies to Year 0 Unit Cost Assumptions)</t>
  </si>
  <si>
    <t>Baseline Administrative Cost</t>
  </si>
  <si>
    <t>Table D.19:  Summary of Participation in Tuition Support Programs</t>
  </si>
  <si>
    <t>Table D.20:  Summary of Teaching Staff by Credentials by Delivery Model</t>
  </si>
  <si>
    <t>Table D.21:  Number of Teacher In-Service Training Hours Required by Delivery Model</t>
  </si>
  <si>
    <t>Total Teachers Participating in BA Tuition Support</t>
  </si>
  <si>
    <t>Total Teachers Participating in ECE Specialized Training Tuition Support</t>
  </si>
  <si>
    <t>Total Assistant Teachers Participating in CDA Tuition Support</t>
  </si>
  <si>
    <t>Tuition Reimbursement for BA Tuition Support Program</t>
  </si>
  <si>
    <t>Tuition Reimbursement for ECE Specialized Training Tuition Support Program</t>
  </si>
  <si>
    <t>Tuition Reimbursement for CDA Tuition Support Program</t>
  </si>
  <si>
    <t>Incremental Cost for State-Level Administration of BA Tuition Support Program</t>
  </si>
  <si>
    <t>Incremental Cost for State-Level Administration of ECE Tuition Support Program</t>
  </si>
  <si>
    <t>Incremental Cost for State-Level Administration of CDA Tuition Support Program</t>
  </si>
  <si>
    <t xml:space="preserve">Incremental Cost for State-Level Administration of Curriculum Standards </t>
  </si>
  <si>
    <t>Subtotal: Tuition Reimbursements for Professional Development</t>
  </si>
  <si>
    <t>Incremental Cost for Program Development</t>
  </si>
  <si>
    <t>Incremental Cost for State-Level Administration of Monitoring (Site Visits) Program</t>
  </si>
  <si>
    <t>Subtotal: Curriculum Standards Classroom Materials and Training Costs</t>
  </si>
  <si>
    <t>Curriculum Training Costs</t>
  </si>
  <si>
    <t>Curriculum Materials Costs</t>
  </si>
  <si>
    <t>% of Slots Participating</t>
  </si>
  <si>
    <t>Subtotal: Weighted Average Meals Cost per Slot per Day (All Delivery Models)</t>
  </si>
  <si>
    <t>Subtotal: Cost of Screening/Referral and Support Services</t>
  </si>
  <si>
    <t>Cumulative Number of Classrooms Required to Service Slot Plan</t>
  </si>
  <si>
    <t>Cumulative Number of Classrooms Participating in Curriculum Standards</t>
  </si>
  <si>
    <t>Percent of Classrooms Participating in High Scope® (Applies to All Delivery Models)</t>
  </si>
  <si>
    <t>Percent of Classrooms Participating in Creative Curriculum® (Applies to All Delivery Models)</t>
  </si>
  <si>
    <t>Percent of Classrooms Participating in Layered Curriculum® (Applies to All Delivery Models)</t>
  </si>
  <si>
    <t>Cumulative Number of Classrooms Participating in High Scope®</t>
  </si>
  <si>
    <t>Cumulative Number of Classrooms Participating in Creative Curriculum®</t>
  </si>
  <si>
    <t>Cumulative Number of Classrooms Participating in Layered Curriculum®</t>
  </si>
  <si>
    <t>Total Classrooms Receiving One-Time Curriculum Standards Materials and Training</t>
  </si>
  <si>
    <t>Total Child Care Center Assistant Teachers</t>
  </si>
  <si>
    <t>Total Public PreK Assistant Teachers</t>
  </si>
  <si>
    <t>Total Head Start Assistant Teachers</t>
  </si>
  <si>
    <t>Total Classrooms Receiving One-Time High Scope® Materials and Training</t>
  </si>
  <si>
    <t>Total Classrooms Receiving One-Time Creative Curriculum® Materials and Training</t>
  </si>
  <si>
    <t>Total Classrooms Receiving One-Time Layered Curriculum® Materials and Training</t>
  </si>
  <si>
    <t>Subtotal: Site Monitoring Costs (Site Visits)</t>
  </si>
  <si>
    <t>Total Percent of Classrooms Participating in Curriculum Standards</t>
  </si>
  <si>
    <t>Incremental Cost for State-Level Administration of Coaching Program</t>
  </si>
  <si>
    <t>Table D.22:  Number of Classrooms Participating in One-Time Curriculum Materials and Training</t>
  </si>
  <si>
    <t>Table D.23:  Number of Coaches Required to Service Slot Plan</t>
  </si>
  <si>
    <r>
      <t xml:space="preserve">Churn: % of Existing Teachers </t>
    </r>
    <r>
      <rPr>
        <u/>
        <sz val="11"/>
        <color theme="1"/>
        <rFont val="Calibri"/>
        <family val="2"/>
        <scheme val="minor"/>
      </rPr>
      <t>Leaving</t>
    </r>
    <r>
      <rPr>
        <sz val="11"/>
        <color theme="1"/>
        <rFont val="Calibri"/>
        <family val="2"/>
        <scheme val="minor"/>
      </rPr>
      <t xml:space="preserve"> the Workforce Each Year (distribution by degree level is maintained)</t>
    </r>
  </si>
  <si>
    <t>Coaches Training Costs</t>
  </si>
  <si>
    <t>Coaching Salaries, Benefits and Direct &amp; Indirect Expenses</t>
  </si>
  <si>
    <t>Subtotal: Coaching Costs</t>
  </si>
  <si>
    <t>Total Coaches (Year 0)</t>
  </si>
  <si>
    <t>Subtotal: Coaching Costs ($)</t>
  </si>
  <si>
    <t>Subtotal: Total Coaches</t>
  </si>
  <si>
    <t>Subtotal: Capacity Building Costs</t>
  </si>
  <si>
    <t>Table D.24:  Incremental Facility Count by Delivery Model</t>
  </si>
  <si>
    <t>Number of Additional Child Care Centers Required</t>
  </si>
  <si>
    <t>Number of Additional Public PreK Sites Required</t>
  </si>
  <si>
    <t>Number of Additional Head Start Sites Required</t>
  </si>
  <si>
    <t>Number of Additional Sites Required to Service Slot Plan</t>
  </si>
  <si>
    <t>Subtotal: System Support Costs</t>
  </si>
  <si>
    <t>Startup Costs per Facility (Weighted Average of One-Time Funds Awarded for New Facilities)</t>
  </si>
  <si>
    <t>Subtotal: Technical Assistance Costs</t>
  </si>
  <si>
    <t>Subtotal: Program Evaluation Costs</t>
  </si>
  <si>
    <t>Total State-Level Infrastructure &amp; Support Costs</t>
  </si>
  <si>
    <t>State-Level Implementation Costs</t>
  </si>
  <si>
    <t>Provider-Level Implementation Costs</t>
  </si>
  <si>
    <t>Number of 3- and 4-year-olds Served</t>
  </si>
  <si>
    <t>Part Day Slots</t>
  </si>
  <si>
    <t>Number of Child Care Center Sites</t>
  </si>
  <si>
    <t>Number of Head Start Sites</t>
  </si>
  <si>
    <t>State-Level Infrstructure &amp; Support Costs Before Technical Assistance and Program Evaluation</t>
  </si>
  <si>
    <t>Table E.1:  State-Level Infrastructure &amp; Support Costs</t>
  </si>
  <si>
    <t>Number of Facilities Required to Satisfy Slot Plan</t>
  </si>
  <si>
    <t>Total Child Care Center Slots Targeting Income Eligible 3- and 4-year-olds</t>
  </si>
  <si>
    <t>Total Child Public PreK Slots Targeting Income Eligible 3- and 4-year-olds</t>
  </si>
  <si>
    <t>Total Head Start Slots Targeting Income Eligible 3- and 4-year-olds</t>
  </si>
  <si>
    <t>Total Child Care Center Slots Targeting ELL Eligible 3- and 4-year-olds</t>
  </si>
  <si>
    <t>Total Public PreK Slots Targeting ELL Eligible 3- and 4-year-olds</t>
  </si>
  <si>
    <t>Total Head Start Slots Targeting ELL Eligible 3- and 4-year-olds</t>
  </si>
  <si>
    <t>Total Child Care Center Slots Targeting 3- and 4-year-olds with Special Needs</t>
  </si>
  <si>
    <t>Total Public PreK Slots Targeting 3- and 4-year-olds with Special Needs</t>
  </si>
  <si>
    <t>Total Head Start Slots Targeting 3- and 4-year-olds with Special Needs</t>
  </si>
  <si>
    <t>Total Child Care Center Slots Targeting 3- and 4-year-olds in Rural Areas</t>
  </si>
  <si>
    <t>Total Public PreK Slots Targeting 3- and 4-year-olds in Rural Areas</t>
  </si>
  <si>
    <t>Total Head Start Slots Targeting 3- and 4-year-olds in Rural Areas</t>
  </si>
  <si>
    <t>Administrative Assistant (Office Clerks, General, SOC 43-9061)</t>
  </si>
  <si>
    <t>Table D.8:  Number of Teacher FTEs per Facility by Delivery Model</t>
  </si>
  <si>
    <t>Table D.8:  Number of Assistant Teacher FTEs per Facility by Delivery Model</t>
  </si>
  <si>
    <t>Annual FTE Salary Increase for Teachers with ECE Credential, including Taxes &amp; Benefits ($)</t>
  </si>
  <si>
    <t>Teachers with ECE Credential</t>
  </si>
  <si>
    <t>Assistant Teachers with a CDA Credential</t>
  </si>
  <si>
    <t>Teacher FTEs with an ECE Credential</t>
  </si>
  <si>
    <t>Teacher FTEs with a BA Degree</t>
  </si>
  <si>
    <t>Percent of Teachers with a BA Degree or Higher</t>
  </si>
  <si>
    <t>Assistant Teacher FTEs with a CDA Credential</t>
  </si>
  <si>
    <t>Rural Facilities</t>
  </si>
  <si>
    <t>Non-Rural Facilities</t>
  </si>
  <si>
    <t>Number of Preschool Classrooms per Facility</t>
  </si>
  <si>
    <t>Average Number of Income Eligible 3- and 4-year-olds per Facility</t>
  </si>
  <si>
    <t>Average Number of ELL Eligible 3- and 4-year-olds per Facility</t>
  </si>
  <si>
    <t>Average Number of Special Needs Eligible 3- and 4-year-olds per Facility</t>
  </si>
  <si>
    <t>Average Number of 3- and 4-year-old Slots per Facility</t>
  </si>
  <si>
    <t>Average Number of Part Day Classes per Facility</t>
  </si>
  <si>
    <t>Average Number of Full Day Classes per Facility</t>
  </si>
  <si>
    <t>Average Number of Extended Day Classes per Facility</t>
  </si>
  <si>
    <t>Average Number of Classes per Facility</t>
  </si>
  <si>
    <t>Average Number of Full-Day Teachers per Facility</t>
  </si>
  <si>
    <t>Average Number of Extended Day Teachers per Facility</t>
  </si>
  <si>
    <t>Average Number of Preschool Teachers per Facility</t>
  </si>
  <si>
    <t>Number of Assistant Preschool Teachers per Facility</t>
  </si>
  <si>
    <t>Floater-Assistant FTEs per Facility (Allocated to Preschool)</t>
  </si>
  <si>
    <t>Average Number of Part-Day Assistant Teachers per Facility</t>
  </si>
  <si>
    <t>Average Number of Full-Day Assistant Teachers per Facility</t>
  </si>
  <si>
    <t>Average Number of Extended Day Assistant Teachers per Facility</t>
  </si>
  <si>
    <t>Preschool Teacher Salary Enhancements for ECE Credentials</t>
  </si>
  <si>
    <t>Floater-Assistant Salaries</t>
  </si>
  <si>
    <t>Additional Benefits</t>
  </si>
  <si>
    <t>Total FTEs per Facility Allocated to Preschool</t>
  </si>
  <si>
    <t>Total Salaries and Wages</t>
  </si>
  <si>
    <t>Total Wages for Substitutes</t>
  </si>
  <si>
    <t>Substitute Wages for Staff Training</t>
  </si>
  <si>
    <t>Substitute Wages for Staff Vacation/Sick Days</t>
  </si>
  <si>
    <t>No</t>
  </si>
  <si>
    <t>Child Care Center Staffing Model: Preschool FTE and Salary Allocations per Site</t>
  </si>
  <si>
    <t>Public PreK Staffing Model: Preschool FTE and Salary Allocations per Site</t>
  </si>
  <si>
    <t>Head Start Staffing Model: Preschool FTE and Salary Allocations per Site</t>
  </si>
  <si>
    <t>1. Personnel Costs (per Facility)</t>
  </si>
  <si>
    <t>2. Non-Personnel Costs (per Facility)</t>
  </si>
  <si>
    <t>Child Assessments</t>
  </si>
  <si>
    <t>Screening/Referral &amp; Support Services</t>
  </si>
  <si>
    <t>Annualized Replacement Cost of ERS-Related Items</t>
  </si>
  <si>
    <t>Mandatory Taxes &amp; Benefits</t>
  </si>
  <si>
    <t xml:space="preserve">Total Salaries, Wages, Employment Taxes &amp; Benefits per Site, by Delivery Model </t>
  </si>
  <si>
    <t>Total Non-Personnel Expense</t>
  </si>
  <si>
    <t>Subtotal: Tuition Support Costs (See NIEER Standards #5-7, Above)</t>
  </si>
  <si>
    <t>Tuition Support as a % of Total State-Level Infrastructure and Supports Cost ($)</t>
  </si>
  <si>
    <t>In-Service Training Hours per Teacher/Assistant Teacher per Year</t>
  </si>
  <si>
    <t>% of Teachers/Assistant Teachers Participating in In-Service Training Each Year</t>
  </si>
  <si>
    <t>Total Child Care Center Teachers &amp; Assistant Teachers</t>
  </si>
  <si>
    <t>% of Teachers &amp; Assistant Teachers Participating in In-Service Training Each Year</t>
  </si>
  <si>
    <t>Number of Teachers &amp; Assistant Teachers Participating in In-Service Training Each Year</t>
  </si>
  <si>
    <t>Total Public PreK Teachers &amp; Assistant Teachers</t>
  </si>
  <si>
    <t>Total Child Care Center Hours of In-Service Training Each Year</t>
  </si>
  <si>
    <t>Total Public PreK Hours of In-Service Training Each Year</t>
  </si>
  <si>
    <t>Total Head Start Hours of In-Service Training Each Year</t>
  </si>
  <si>
    <t>Total Hours of In-Service Training Each Year (All Delivery Models)</t>
  </si>
  <si>
    <t>Total Head Start Teachers &amp; Assistant Teachers</t>
  </si>
  <si>
    <t>Total Occupancy Costs</t>
  </si>
  <si>
    <t>Operations Costs Before Screening/Referral &amp; Support Services and Child Assessments</t>
  </si>
  <si>
    <t>Occupancy Costs Before Annualized Replacement Cost of ERS-Related Items</t>
  </si>
  <si>
    <t>Indirect Rate Charge</t>
  </si>
  <si>
    <t>Contribution to Operating Reserve</t>
  </si>
  <si>
    <t>Total Personnel Expense</t>
  </si>
  <si>
    <t>Total Operations Costs</t>
  </si>
  <si>
    <t>Total Cost per Facility</t>
  </si>
  <si>
    <t>Subtotal: Weighted Avg Cost per Slot, Based on Participation Rates by Service, By Delivery Model</t>
  </si>
  <si>
    <t>Square Feet per Classroom (Including Allocation for Shared Space)</t>
  </si>
  <si>
    <t>Annual Costs Using Other Bases, i.e., Per Site Costs ($)</t>
  </si>
  <si>
    <t>Total Other Costs</t>
  </si>
  <si>
    <t>Total Indirect Charges</t>
  </si>
  <si>
    <t>Days of Paid Leave (Vacation/Sick Days) for Teaching Staff (Not Including Holidays</t>
  </si>
  <si>
    <t>Average Number of Part-Day Teachers per Facility</t>
  </si>
  <si>
    <t>Part-Day Teacher FTEs (Based on Annual Dosage)</t>
  </si>
  <si>
    <t>Full-Day Teacher FTEs (Based on Annual Dosage)</t>
  </si>
  <si>
    <t>Extended Day Teacher FTEs (Based on Annual Dosage)</t>
  </si>
  <si>
    <t>Part-Day Teacher FTEs with a BA Degree</t>
  </si>
  <si>
    <t>Full-Day Teacher FTEs with a BA Degree</t>
  </si>
  <si>
    <t>Extended Day Teacher FTEs with a BA Degree</t>
  </si>
  <si>
    <t>Part-Day Teacher FTEs with an ECE Credential</t>
  </si>
  <si>
    <t>Full-Day Teacher FTEs with an ECE Credential</t>
  </si>
  <si>
    <t>Extended Day Teacher FTEs with an ECE Credential</t>
  </si>
  <si>
    <t>Part-Day Assistant Teacher FTEs (Based on Annual Dosage)</t>
  </si>
  <si>
    <t>Full-Day Assistant Teacher FTEs (Based on Annual Dosage)</t>
  </si>
  <si>
    <t>Extended Day Assistant Teacher FTEs (Based on Annual Dosage)</t>
  </si>
  <si>
    <t>Part-Day Assistant Teacher FTEs with a CDA Credential</t>
  </si>
  <si>
    <t>Full-Day Assistant Teacher FTEs with a CDA Credential</t>
  </si>
  <si>
    <t>Extended Day Assistant Teacher FTEs with a CDA Credential</t>
  </si>
  <si>
    <t>Teacher FTEs (Based on Annual Dosage) per Facility</t>
  </si>
  <si>
    <t>Assistant Teacher FTEs (Based on Yearly Employment and Dosage) per Facility</t>
  </si>
  <si>
    <t>Table F.1.a:  Child Care Center Facility Volumes and Staffing Summary</t>
  </si>
  <si>
    <t>Total Cost for All Child Care Centers Required to Meet Slot Plan</t>
  </si>
  <si>
    <t>Part Day Teacher Salary Enhancements for ECE Credentials</t>
  </si>
  <si>
    <t>Full Day Teacher Salary Enhancements for ECE Credentials</t>
  </si>
  <si>
    <t>Extended Day Teacher Salary Enhancements for ECE Credentials</t>
  </si>
  <si>
    <t>Average Number of Part Day Classrooms per Facility</t>
  </si>
  <si>
    <t>Average Number of Full Day Classrooms per Facility</t>
  </si>
  <si>
    <t>Average Number of Extended Day Classrooms per Facility</t>
  </si>
  <si>
    <t>Total In-Service Training Hours per Facility (All Teachers and Assistant Teachers)</t>
  </si>
  <si>
    <t>Other Staff Salaries Allocated to Part Day Classrooms</t>
  </si>
  <si>
    <t>Other Staff Salaries Allocated to Full Day Classrooms</t>
  </si>
  <si>
    <t>Other Staff Salaries Allocated to Extended Day Classrooms</t>
  </si>
  <si>
    <r>
      <t xml:space="preserve">3. </t>
    </r>
    <r>
      <rPr>
        <b/>
        <i/>
        <u/>
        <sz val="12"/>
        <color theme="1"/>
        <rFont val="Calibri"/>
        <family val="2"/>
        <scheme val="minor"/>
      </rPr>
      <t>REFERENCE</t>
    </r>
    <r>
      <rPr>
        <b/>
        <sz val="12"/>
        <color theme="1"/>
        <rFont val="Calibri"/>
        <family val="2"/>
        <scheme val="minor"/>
      </rPr>
      <t>: Analysis of Cost per Slot By Dosage</t>
    </r>
  </si>
  <si>
    <t>Total Full Day Allocation of Salaries &amp; Wages</t>
  </si>
  <si>
    <t>Total Extended Day Allocation of Salaries &amp; Wages</t>
  </si>
  <si>
    <t>Total Part Day Allocation of Salaries &amp; Wages</t>
  </si>
  <si>
    <t>Wages for Substitutes Allocated to Part Day Teacher and Assistant Teacher FTEs</t>
  </si>
  <si>
    <t>Wages for Substitutes Allocated to Full Day Teacher and Assistant Teacher FTEs</t>
  </si>
  <si>
    <t>Wages for Substitutes Allocated to Extended Day Teacher and Assistant Teacher FTEs</t>
  </si>
  <si>
    <t>Part Day Allocation of Additional Benefits</t>
  </si>
  <si>
    <t>Full Day Allocation of Additional Benefits</t>
  </si>
  <si>
    <t>Extended Day Allocation of Additional Benefits</t>
  </si>
  <si>
    <t>Part Day Allocation of Mandatory Taxes &amp; Benefits</t>
  </si>
  <si>
    <t>Full Day Allocation of Mandatory Taxes &amp; Benefits</t>
  </si>
  <si>
    <t>Extended Day Allocation of Mandatory Taxes &amp; Benefits</t>
  </si>
  <si>
    <t>Total Personnel Expense: Part Day</t>
  </si>
  <si>
    <t>Total Personnel Expense: Full Day</t>
  </si>
  <si>
    <t>Total Personnel Expense: Extended Day</t>
  </si>
  <si>
    <t>Total Operations Cost: Part Day</t>
  </si>
  <si>
    <t>Total Operations Cost: Full Day</t>
  </si>
  <si>
    <t>Total Operations Cost: Extended Day</t>
  </si>
  <si>
    <t>Total Occupancy Cost: Part Day</t>
  </si>
  <si>
    <t>Total Occupancy Cost: Full Day</t>
  </si>
  <si>
    <t>Total Occupancy Cost: Extended Day</t>
  </si>
  <si>
    <t>Total Other Costs: Part Day (Allocated Based on Part Day Classrooms)</t>
  </si>
  <si>
    <t>Total Other Costs: Full Day (Allocated Based on Full Day Classrooms)</t>
  </si>
  <si>
    <t>Total Other Costs: Extended Day (Allocated Based on Extended Day Classrooms)</t>
  </si>
  <si>
    <t>Total Indirect Charges: Part Day</t>
  </si>
  <si>
    <t>Total Indirect Charges: Full Day</t>
  </si>
  <si>
    <t>Total Indirect Charges: Extended Day</t>
  </si>
  <si>
    <t>Total Cost per Facility Allocated to Part Day</t>
  </si>
  <si>
    <t>Total Cost per Facility Allocated to Full Day</t>
  </si>
  <si>
    <t>Total Cost per Facility Allocated to Extended Day</t>
  </si>
  <si>
    <t>Average Annual Cost per Slot</t>
  </si>
  <si>
    <t>Average Annual Cost per Part Day Slot</t>
  </si>
  <si>
    <t>Average Annual Cost per Full Day Slot</t>
  </si>
  <si>
    <t>Average Annual Cost per Extended Day Slot</t>
  </si>
  <si>
    <t>In-Service Training Fees: Part Day Teachers and Assistant Teachers</t>
  </si>
  <si>
    <t>In-Service Training Fees: Full Day Teachers and Assistant Teachers</t>
  </si>
  <si>
    <t>In-Service Training Fees: Extended Day Teachers and Assistant Teachers</t>
  </si>
  <si>
    <t>Subtotal: In-Service Training Cost (Including Training Fees and Substitute Teachers)</t>
  </si>
  <si>
    <t>Table C.4: Public PreK Salary Levels by Occupation by State</t>
  </si>
  <si>
    <t>Table C.3: Child Care Center Salary Levels by Occupation by State</t>
  </si>
  <si>
    <t>Table F.2.a:  Public PreK Facility Volumes and Staffing Summary</t>
  </si>
  <si>
    <t>Table F.1.b:  Child Care Center Facility Cost Model</t>
  </si>
  <si>
    <t>Table F.2.b:  Public PreK Facility Cost Model</t>
  </si>
  <si>
    <t>Table F.3.a:  Head Start Facility Volumes and Staffing Summary</t>
  </si>
  <si>
    <t>Table F.3.b:  Head Start Facility Cost Model</t>
  </si>
  <si>
    <t>Head Start: Full Day Classrooms</t>
  </si>
  <si>
    <t>Head Start: Extended Day Classrooms</t>
  </si>
  <si>
    <t>Head Start: Full Day Classes</t>
  </si>
  <si>
    <t>Head Start: Extended Day Classes</t>
  </si>
  <si>
    <t>Head Start: Extended Day Assistant Teachers</t>
  </si>
  <si>
    <t>Head Start: Full Day Assistant Teachers</t>
  </si>
  <si>
    <t>Head Start: Full Day Slots</t>
  </si>
  <si>
    <t>Head Start Extended Day Slots</t>
  </si>
  <si>
    <t>Number of Public PreK Sites</t>
  </si>
  <si>
    <t>Total Teaching Staff FTEs</t>
  </si>
  <si>
    <t>Assistant Teacher FTEs (Based on Annual Dosage) per Facility</t>
  </si>
  <si>
    <t>N/A</t>
  </si>
  <si>
    <t>Days</t>
  </si>
  <si>
    <t>Weeks</t>
  </si>
  <si>
    <t>Table C.1: State Population Forecasts by Age</t>
  </si>
  <si>
    <t>Source: Child Counts and Poverty Initial Data Pull (e 2015-11-03).xlsx (http://www.census.gov/popest/data/state/asrh/2014/SC-EST2014-AGESEX-CIV.html)</t>
  </si>
  <si>
    <t>Source: Child Counts and Poverty Initial Data Pull (e 2015-11-03).xlsx (2013 ACS 5-Year Estimates, Table B17024, www.factfinder.census.gov)</t>
  </si>
  <si>
    <t>column reference</t>
  </si>
  <si>
    <t>Subtotal: State-Level Administrative Costs</t>
  </si>
  <si>
    <t>Note: Based on yearly estimates by age for 2010-2014; compound annual growth rate applied for 2010-2014 applied to 2014 estimate for years 2015-2025.</t>
  </si>
  <si>
    <t>Other Operations Costs</t>
  </si>
  <si>
    <t>Other Occupancy Costs</t>
  </si>
  <si>
    <t>Subtotal: Annual Per Classroom Occupancy Costs</t>
  </si>
  <si>
    <t>Lump Sum</t>
  </si>
  <si>
    <t>Subtotal: Annual Per Site Costs (Using Other Bases)</t>
  </si>
  <si>
    <t>Total Fees for Teachers and Assistant Teacher In-Service Training</t>
  </si>
  <si>
    <t>Total Cost for All Head Start Facilities Required to Meet Slot Plan</t>
  </si>
  <si>
    <t>Total Cost for All Public PreK Facilities Required to Meet Slot Plan</t>
  </si>
  <si>
    <t>Other Annual Per Site Costs</t>
  </si>
  <si>
    <t>Lead Preschool Teachers: Preschool Teachers, Except Special Education, SOC 25-2011)</t>
  </si>
  <si>
    <t>Assistant Preschool Teachers (Child Care Workers, SOC 39-9011)</t>
  </si>
  <si>
    <t>SubTotal: Preschool FTE and Salary Allocations, Not Including Teachers and Assistant Teachers</t>
  </si>
  <si>
    <t>Other (Non-Teaching) Staff</t>
  </si>
  <si>
    <t>Other Staff Salaries</t>
  </si>
  <si>
    <t>SubTotal: Preschool FTE and Salary Allocations, Not Including Teaching Staff</t>
  </si>
  <si>
    <t>Other Staff FTEs per Facility (Allocated to Preschool)</t>
  </si>
  <si>
    <t>Table B.2.a.1:  Annual Preschool Slot Plan</t>
  </si>
  <si>
    <t>Table B.2.a.2:  Available Funding Streams</t>
  </si>
  <si>
    <t>Existing Funding</t>
  </si>
  <si>
    <t>Total Annual Implementation Costs</t>
  </si>
  <si>
    <t>Funding Surplus/(Shortfall)</t>
  </si>
  <si>
    <t>% of FPL Eligible 3- and 4-Year Old Population Served</t>
  </si>
  <si>
    <t>Weighted Average Provider Cost per Slot (all Dosages and Delivery Models)</t>
  </si>
  <si>
    <t>Fully Loaded Cost per Slot Including Both State-Level and Provider-Level Costs</t>
  </si>
  <si>
    <t>Fully Loaded Cost per Slot Including Both Provider-Level and State-Level Costs</t>
  </si>
  <si>
    <t xml:space="preserve">Teachers, all degree levels </t>
  </si>
  <si>
    <t xml:space="preserve">Teachers with CDA credentials </t>
  </si>
  <si>
    <t xml:space="preserve">Teachers with AA degrees </t>
  </si>
  <si>
    <t xml:space="preserve">Teachers with BA degrees </t>
  </si>
  <si>
    <t xml:space="preserve">Teachers with graduate degrees </t>
  </si>
  <si>
    <t>District of Columbia</t>
  </si>
  <si>
    <t>50 States + DC 11</t>
  </si>
  <si>
    <t>Data sources</t>
  </si>
  <si>
    <t>c</t>
  </si>
  <si>
    <t xml:space="preserve">Assistant teachers </t>
  </si>
  <si>
    <r>
      <rPr>
        <vertAlign val="superscript"/>
        <sz val="11"/>
        <color theme="1"/>
        <rFont val="Calibri"/>
        <family val="2"/>
        <scheme val="minor"/>
      </rPr>
      <t>11</t>
    </r>
    <r>
      <rPr>
        <sz val="11"/>
        <color theme="1"/>
        <rFont val="Calibri"/>
        <family val="2"/>
        <scheme val="minor"/>
      </rPr>
      <t xml:space="preserve"> National salary averages include data from programs in the U.S. territories, including Puerto Rico, as well. </t>
    </r>
  </si>
  <si>
    <r>
      <rPr>
        <vertAlign val="superscript"/>
        <sz val="11"/>
        <color theme="1"/>
        <rFont val="Calibri"/>
        <family val="2"/>
        <scheme val="minor"/>
      </rPr>
      <t>c</t>
    </r>
    <r>
      <rPr>
        <sz val="11"/>
        <color theme="1"/>
        <rFont val="Calibri"/>
        <family val="2"/>
        <scheme val="minor"/>
      </rPr>
      <t xml:space="preserve"> Data from Head Start Program Information Reports (PIR) for 2013-2014.</t>
    </r>
  </si>
  <si>
    <r>
      <t>Table C.5.a: Head Start Salary Levels by Occupation by State</t>
    </r>
    <r>
      <rPr>
        <b/>
        <sz val="14"/>
        <color rgb="FFFF0000"/>
        <rFont val="Calibri"/>
        <family val="2"/>
        <scheme val="minor"/>
      </rPr>
      <t>--MENTAL HEALTH PROFESSIONAL DUMMY DATA (ONLY HOURS PER MONTH INCLUDED IN HEAD START PIR)</t>
    </r>
  </si>
  <si>
    <t>Table C.5.b: Head Start Salaries by Educational Attainment</t>
  </si>
  <si>
    <t>AA vs. CDA</t>
  </si>
  <si>
    <t>BA vs. AA</t>
  </si>
  <si>
    <t>CDA vs. Asst</t>
  </si>
  <si>
    <t>Adjusted CDA vs. Average</t>
  </si>
  <si>
    <t>Adjusted AA vs. Average</t>
  </si>
  <si>
    <t>Adjusted BA vs. Average</t>
  </si>
  <si>
    <t>CDA vs. Assistant Teacher</t>
  </si>
  <si>
    <t>Step 1: Look for rationale pattern</t>
  </si>
  <si>
    <t>Step 2: calculate state indices</t>
  </si>
  <si>
    <t>Step 3: Replace blanks and remaining irrationale patterns with medians</t>
  </si>
  <si>
    <t>Average</t>
  </si>
  <si>
    <t>Median</t>
  </si>
  <si>
    <t>Source: Appendix B: Head Start Data (2013-2014)</t>
  </si>
  <si>
    <t>Average Salary Factor</t>
  </si>
  <si>
    <t>Lead Preschool Teachers: AA Degrees</t>
  </si>
  <si>
    <t>Lead Preschool Teachers: Non-Degreed</t>
  </si>
  <si>
    <t>Assistant Preschool Teachers: without CDA</t>
  </si>
  <si>
    <t>Child Care Center: Teachers with an AA Degree</t>
  </si>
  <si>
    <t>Public PreK: Teachers with an AA Degree</t>
  </si>
  <si>
    <t>Head Start: Teachers with an AA Degree</t>
  </si>
  <si>
    <t>Percent of Teachers with an AA Degree</t>
  </si>
  <si>
    <t>Part-Day Teacher FTEs with an AA Degree</t>
  </si>
  <si>
    <t>Full-Day Teacher FTEs with an AA Degree</t>
  </si>
  <si>
    <t>Extended Day Teacher FTEs with an AA Degree</t>
  </si>
  <si>
    <t>Teacher FTEs with a AA Degree</t>
  </si>
  <si>
    <t>Subtotal: Number of Teachers with an AA degree (Year 0)</t>
  </si>
  <si>
    <t>% of Teachers with an AA degree (Year 0)</t>
  </si>
  <si>
    <t>% of Teachers without an AA degree (Year 0)</t>
  </si>
  <si>
    <t>Subtotal: Number of Teachers with a BA degree or higher (Year 0)</t>
  </si>
  <si>
    <t>% of New Teachers Hired with an AA degree (Years 1+)</t>
  </si>
  <si>
    <t>% of New Teachers Hired without an AA or BA degree (Years 1+)</t>
  </si>
  <si>
    <t>Subtotal: Number of Teachers without an AA or BA degree (Year 0)</t>
  </si>
  <si>
    <t>Subtotal: Number of Participating Teachers without AA or BA degrees (Year 0)</t>
  </si>
  <si>
    <t>Child Care Center: Teachers without an AA or BA Degree</t>
  </si>
  <si>
    <t>Public PreK: Teachers without an AA or BA Degree</t>
  </si>
  <si>
    <t>Head Start: Teachers without an AA or BA Degree</t>
  </si>
  <si>
    <t>Teacher FTEs without an AA or BA Degree</t>
  </si>
  <si>
    <t>Percent of Teachers without an AA or BA Degree</t>
  </si>
  <si>
    <t>Part-Day Teacher FTEs without an AA or BA Degree</t>
  </si>
  <si>
    <t>Full-Day Teacher FTEs without an AA or BA Degree</t>
  </si>
  <si>
    <t>Extended Day Teacher FTEs without an AA or BA Degree</t>
  </si>
  <si>
    <t>Preschool Teacher Salaries - Teachers with BA Degree or Higher</t>
  </si>
  <si>
    <t>Preschool Teacher Salaries - Teachers with AA Degree</t>
  </si>
  <si>
    <t>Preschool Teacher Salaries - Teachers without an AA or BA Degree</t>
  </si>
  <si>
    <t>Preschool Assistant Teacher Salaries - Teachers with CDA</t>
  </si>
  <si>
    <t>Preschool Assistant Teacher Salaries - Teachers without CDA</t>
  </si>
  <si>
    <t>Assistant Preschool Teachers: with CDA</t>
  </si>
  <si>
    <t>Part Day Teacher Salaries - Teachers with BA Degree or Higher</t>
  </si>
  <si>
    <t>Full Day Teacher Salaries - Teachers with BA Degree or Higher</t>
  </si>
  <si>
    <t>Extended Day Teacher Salaries - Teachers with BA Degree or Higher</t>
  </si>
  <si>
    <t>Part Day Teacher Salaries - Teachers with an AA Degree</t>
  </si>
  <si>
    <t>Full Day Teacher Salaries - Teachers with an AA Degree</t>
  </si>
  <si>
    <t>Extended Day Teacher Salaries - Teachers with an AA Degree</t>
  </si>
  <si>
    <t>Part Day Teacher Salaries - Teachers without an AA or BA Degree</t>
  </si>
  <si>
    <t>Full Day Teacher Salaries - Teachers without an AA or BA Degree</t>
  </si>
  <si>
    <t>Extended Day Teacher Salaries - Teachers without an AA or BA Degree</t>
  </si>
  <si>
    <t>Lead Preschool Teachers: BA Degrees or Higher</t>
  </si>
  <si>
    <t>Part Day Assistant Teacher Salaries - With a CDA</t>
  </si>
  <si>
    <t>Full Day Assistant Teacher Salaries - With a CDA</t>
  </si>
  <si>
    <t>Extended Day Assistant Teacher Salaries - With a CDA</t>
  </si>
  <si>
    <t>Part Day Assistant Teacher Salaries - Without a CDA</t>
  </si>
  <si>
    <t>Full Day Assistant Teacher Salaries - Without a CDA</t>
  </si>
  <si>
    <t>Extended Day Assistant Teacher Salaries - Without a CDA</t>
  </si>
  <si>
    <t>Teacher Salaries Indexed by Level of Educational Attainment</t>
  </si>
  <si>
    <t>Adjusted Annual Salary</t>
  </si>
  <si>
    <t>Override Salary Factor?</t>
  </si>
  <si>
    <t>New Salary Factor</t>
  </si>
  <si>
    <t>% of Teachers with BA or Higher</t>
  </si>
  <si>
    <t>% of Teachers with AA degree</t>
  </si>
  <si>
    <t>% of Teachers without AA or BA degree</t>
  </si>
  <si>
    <t>% of Asst Teachers with CDA or equivalent</t>
  </si>
  <si>
    <t>Table C6. Percent of Head Start Teachers and Assistant Teachers by Degree/Certificate Level by State</t>
  </si>
  <si>
    <t>Free Meal Eligibility</t>
  </si>
  <si>
    <t>FPL-Based Eligibility</t>
  </si>
  <si>
    <t>Food/Food Prep Cost per Child per Day</t>
  </si>
  <si>
    <t>Note: Participation assumes FPL Eligibility Threshold for Free and Reduced Lunch unless overriden.</t>
  </si>
  <si>
    <t>Meals Cost By Dosage</t>
  </si>
  <si>
    <t>Weighted Average Cost</t>
  </si>
  <si>
    <t>Child Participation Rate (%)</t>
  </si>
  <si>
    <t>Override Eligibility?</t>
  </si>
  <si>
    <t>Entry Schedule: % of Participating Pre-Existing Assistant Teachers (Year 0) Entering CDA Training Each Year</t>
  </si>
  <si>
    <t>Entry Schedule: % of Participating Pre-Existing Teachers (Year 0) Entering ECE Training Each Year</t>
  </si>
  <si>
    <t>Entry Schedule: % of Participating Pre-Existing Teachers (Year 0) Entering BA Program Each Year</t>
  </si>
  <si>
    <t>Source file calculations: Head Start Staff Employment and Qualifications by State (2014 PIR) (e 2015 12 26).xlsx</t>
  </si>
  <si>
    <t>% of Assistant Teachers without CDA or equivalent</t>
  </si>
  <si>
    <t>% of Teachers with an ECE Credential (all degree levels)</t>
  </si>
  <si>
    <t xml:space="preserve">Regions 1-10 (Total): </t>
  </si>
  <si>
    <t>% of Teachers with AA degree enrolled in BA program</t>
  </si>
  <si>
    <t>% of Teachers without AA degree enrolled in AA or BA Program</t>
  </si>
  <si>
    <t>% of Assistant Teachers without CDA enrolled in CDA Program (or Higher)</t>
  </si>
  <si>
    <t>% of Teachers without an ECE Credential enrolled in an ECE Program</t>
  </si>
  <si>
    <t>Source: 2014 Head Start Data (hses.ohs.acf.hhs.gov), Regions 1-10</t>
  </si>
  <si>
    <t>←  Example of Calculating % of Participating Teachers</t>
  </si>
  <si>
    <r>
      <rPr>
        <i/>
        <sz val="11"/>
        <color theme="1"/>
        <rFont val="Calibri"/>
        <family val="2"/>
      </rPr>
      <t xml:space="preserve">←  </t>
    </r>
    <r>
      <rPr>
        <i/>
        <sz val="11"/>
        <color theme="1"/>
        <rFont val="Calibri"/>
        <family val="2"/>
        <scheme val="minor"/>
      </rPr>
      <t>Example of Calculating % of Participating Teachers with AA degree</t>
    </r>
  </si>
  <si>
    <t>Federal (FLSA)</t>
  </si>
  <si>
    <t>...</t>
  </si>
  <si>
    <t>6.50-8.00(g)</t>
  </si>
  <si>
    <t>7.25-8.25</t>
  </si>
  <si>
    <t>7.25-7.95</t>
  </si>
  <si>
    <t>2.00-7.25(g)</t>
  </si>
  <si>
    <t>Guam</t>
  </si>
  <si>
    <t>Puerto Rico</t>
  </si>
  <si>
    <t>5.08-7.25(i)</t>
  </si>
  <si>
    <t>U.S. Virgin Islands</t>
  </si>
  <si>
    <t>4.30-7.25(j)</t>
  </si>
  <si>
    <t>Sources:</t>
  </si>
  <si>
    <t>1) Wage data for the years 1968 through 1998 was obtained from the Book of the States, 1968 - 1999 edition, volume 32 which was published by the Council of State Governments.</t>
  </si>
  <si>
    <t>2) Wage data for the years 2000 through the present was obtained from the U.S. Department of Labor, Office of State Standards Programs Wage and Hour Division web site Minimum Wage and Overtime Pay Standards Applicable to Nonsupervisory NONFARM Private Sector Employment Under State and Federal Laws.</t>
  </si>
  <si>
    <t>Note:</t>
  </si>
  <si>
    <t>Wage rates are for January 1 of each year except 1968 and 1972, which show rates as of February. A range of rates, as in Puerto Rico, reflects which rates differ by industry, occupation or other factors, as established under a wage-board type law. Wage rates in bold indicate an increase over the previous year's rate.</t>
  </si>
  <si>
    <t>Key:</t>
  </si>
  <si>
    <t>... - not applicable</t>
  </si>
  <si>
    <t>N.A. - not available</t>
  </si>
  <si>
    <t>(a) - under the Federal Fair Labor Standards Act (FLSA), the two rates shown in 1968, 1970, and 1976 reflect the former multiple-track minimum-wage system in effect from 1961 to 1978. The lower rate applied to newly covered persons brought under the act by amendments, whose rates were gradually phased in. A similar dual-track system was also in effect in certain years under the laws in Connecticut, Maryland, and Nevada.</t>
  </si>
  <si>
    <t>(b) - For the years indicated, the laws in Arizona, Arkansas, California, Colorado, Kentucky, Minnesota, Ohio, Utah, and Wisconsin applied only to women and minors.</t>
  </si>
  <si>
    <t>[c] - Rates applicable to employers of four or more.</t>
  </si>
  <si>
    <t>(d) - Rates applicable to employers of six or more. In West Virginia, applicable to employers of six or more in one location.</t>
  </si>
  <si>
    <t>(e) - Rates applicable to employers of two or more.</t>
  </si>
  <si>
    <t>(f) - For the years 1988 to 1990, Minnesota had a two tier schedule with the higher rate applicable to employers covered by the FLSA and the lower rate to employers not covered by the FLSA.</t>
  </si>
  <si>
    <t>(g) - Minnesota sets a lower rate for enterprises with annual receipts of less than $500,000 ($4.90, January 1, 1998-January 1, 2005). The dollar amount prior to September 1, 1997 was $362,500 ($4.00 - January 1, 1991-January 1, 1997); Montana sets a lower rate for businesses with gross annual sales of $110,000 or less ($4.00 - January 1, 1992-January 1, 2005); Ohio sets a lower rate for employers with gross annual sales from $150,000 to $500,000 ($3.35 - January 1, 1991-January 1, 2005) and for employers with gross annual sales under $150,000 ($2.50 - January 1, 1991-January 1, 2005); Oklahoma sets a lower rate for employers of fewer than 10 full-time employees at any one location and for those with annual gross sales of less than $100,000 ($2.00, January 1, 1991-January 1, 2005); and the U.S. Virgin Islands sets a lower rate for businesses with gross annual receipts of less than $150,000 ($4.30, January 1, 1991-January 1, 2005).</t>
  </si>
  <si>
    <t>(h) - In the District of Columbia, wage orders were replaced by a statutory minimum wage on October 1, 1993. A $5.45 minimum rate remained in effect for the laundry and dry cleaning industry as the result of the grandfather clause.</t>
  </si>
  <si>
    <t>(i) - In Puerto Rico, separate minimum rates are in effect for almost 350 non-farm occupations by industry Mandatory Decrees. Rates are higher than those in the range listed in effect in a few specific occupations. </t>
  </si>
  <si>
    <t>(i2) - The rate is 5.08/hour for those employees not covered by the Fair Labor Standards Act.</t>
  </si>
  <si>
    <t>(j) - In the U.S. Virgin Islands, implementation of an indexed rate, which was to have started January 1, 1991, was delayed.</t>
  </si>
  <si>
    <t>Prepared By:</t>
  </si>
  <si>
    <t>Office of Communications</t>
  </si>
  <si>
    <t>Wage and Hour Division</t>
  </si>
  <si>
    <t>U.S. Department of Labor</t>
  </si>
  <si>
    <t>This document was last revised in December 2014; unless otherwise stated, the information reflects requirements that were in effect, or would take effect, as of January 1, 2015.</t>
  </si>
  <si>
    <t>Source: US Department of Labor (http://www.dol.gov/whd/state/stateMinWageHis.htm)</t>
  </si>
  <si>
    <t>Table C7. 2014 Minimum Wage (Laws) by State, Where Applicable</t>
  </si>
  <si>
    <t>[c]</t>
  </si>
  <si>
    <t>(d)</t>
  </si>
  <si>
    <t>…</t>
  </si>
  <si>
    <t>(e)</t>
  </si>
  <si>
    <t>(g)</t>
  </si>
  <si>
    <t>Notes</t>
  </si>
  <si>
    <t>Baseline Administrative Cost per Slot: State-Level Monitoring &amp; Oversight (Including Inflation)</t>
  </si>
  <si>
    <t>Annual Baseline Administrative Cost per Slot (IF not Fixed based on Year 0, above)</t>
  </si>
  <si>
    <t>Baseline Administrative Cost per Slot (Year 0)</t>
  </si>
  <si>
    <t>Enter Separate Baseline Admininstrative Cost per Slot Assumptions by Year Instead?</t>
  </si>
  <si>
    <r>
      <t xml:space="preserve">Child Care Center: Average Annual Cost per </t>
    </r>
    <r>
      <rPr>
        <b/>
        <i/>
        <sz val="11"/>
        <color theme="1"/>
        <rFont val="Calibri"/>
        <family val="2"/>
        <scheme val="minor"/>
      </rPr>
      <t>Part Day</t>
    </r>
    <r>
      <rPr>
        <sz val="11"/>
        <color theme="1"/>
        <rFont val="Calibri"/>
        <family val="2"/>
        <scheme val="minor"/>
      </rPr>
      <t xml:space="preserve"> Slot</t>
    </r>
  </si>
  <si>
    <r>
      <t xml:space="preserve">Average Annual Cost per </t>
    </r>
    <r>
      <rPr>
        <b/>
        <i/>
        <sz val="11"/>
        <color theme="1"/>
        <rFont val="Calibri"/>
        <family val="2"/>
        <scheme val="minor"/>
      </rPr>
      <t>Full Day</t>
    </r>
    <r>
      <rPr>
        <sz val="11"/>
        <color theme="1"/>
        <rFont val="Calibri"/>
        <family val="2"/>
        <scheme val="minor"/>
      </rPr>
      <t xml:space="preserve"> Slot (Child Care Center)</t>
    </r>
  </si>
  <si>
    <r>
      <t xml:space="preserve">Average Annual Cost per </t>
    </r>
    <r>
      <rPr>
        <b/>
        <i/>
        <sz val="11"/>
        <color theme="1"/>
        <rFont val="Calibri"/>
        <family val="2"/>
        <scheme val="minor"/>
      </rPr>
      <t>Extended Day</t>
    </r>
    <r>
      <rPr>
        <sz val="11"/>
        <color theme="1"/>
        <rFont val="Calibri"/>
        <family val="2"/>
        <scheme val="minor"/>
      </rPr>
      <t xml:space="preserve"> Slot (Child Care Center)</t>
    </r>
  </si>
  <si>
    <r>
      <t xml:space="preserve">Public PreK: Average Annual Cost per </t>
    </r>
    <r>
      <rPr>
        <b/>
        <i/>
        <sz val="11"/>
        <color theme="1"/>
        <rFont val="Calibri"/>
        <family val="2"/>
        <scheme val="minor"/>
      </rPr>
      <t>Part Day</t>
    </r>
    <r>
      <rPr>
        <sz val="11"/>
        <color theme="1"/>
        <rFont val="Calibri"/>
        <family val="2"/>
        <scheme val="minor"/>
      </rPr>
      <t xml:space="preserve"> Slot</t>
    </r>
  </si>
  <si>
    <r>
      <t xml:space="preserve">Average Annual Cost per </t>
    </r>
    <r>
      <rPr>
        <b/>
        <i/>
        <sz val="11"/>
        <color theme="1"/>
        <rFont val="Calibri"/>
        <family val="2"/>
        <scheme val="minor"/>
      </rPr>
      <t>Full Day</t>
    </r>
    <r>
      <rPr>
        <sz val="11"/>
        <color theme="1"/>
        <rFont val="Calibri"/>
        <family val="2"/>
        <scheme val="minor"/>
      </rPr>
      <t xml:space="preserve"> Slot (Public PreK)</t>
    </r>
  </si>
  <si>
    <r>
      <t xml:space="preserve">Average Annual Cost per </t>
    </r>
    <r>
      <rPr>
        <b/>
        <i/>
        <sz val="11"/>
        <color theme="1"/>
        <rFont val="Calibri"/>
        <family val="2"/>
        <scheme val="minor"/>
      </rPr>
      <t>Extended Day</t>
    </r>
    <r>
      <rPr>
        <sz val="11"/>
        <color theme="1"/>
        <rFont val="Calibri"/>
        <family val="2"/>
        <scheme val="minor"/>
      </rPr>
      <t xml:space="preserve"> Slot (Public PreK)</t>
    </r>
  </si>
  <si>
    <r>
      <t xml:space="preserve">Head Start: Average Annual Cost per </t>
    </r>
    <r>
      <rPr>
        <b/>
        <i/>
        <sz val="11"/>
        <color theme="1"/>
        <rFont val="Calibri"/>
        <family val="2"/>
        <scheme val="minor"/>
      </rPr>
      <t>Part Day</t>
    </r>
    <r>
      <rPr>
        <sz val="11"/>
        <color theme="1"/>
        <rFont val="Calibri"/>
        <family val="2"/>
        <scheme val="minor"/>
      </rPr>
      <t xml:space="preserve"> Slot</t>
    </r>
  </si>
  <si>
    <r>
      <t xml:space="preserve">Average Annual Cost per </t>
    </r>
    <r>
      <rPr>
        <b/>
        <i/>
        <sz val="11"/>
        <color theme="1"/>
        <rFont val="Calibri"/>
        <family val="2"/>
        <scheme val="minor"/>
      </rPr>
      <t>Full Day</t>
    </r>
    <r>
      <rPr>
        <sz val="11"/>
        <color theme="1"/>
        <rFont val="Calibri"/>
        <family val="2"/>
        <scheme val="minor"/>
      </rPr>
      <t xml:space="preserve"> Slot (Head Start)</t>
    </r>
  </si>
  <si>
    <r>
      <t xml:space="preserve">Average Annual Cost per </t>
    </r>
    <r>
      <rPr>
        <b/>
        <i/>
        <sz val="11"/>
        <color theme="1"/>
        <rFont val="Calibri"/>
        <family val="2"/>
        <scheme val="minor"/>
      </rPr>
      <t>Extended Day</t>
    </r>
    <r>
      <rPr>
        <sz val="11"/>
        <color theme="1"/>
        <rFont val="Calibri"/>
        <family val="2"/>
        <scheme val="minor"/>
      </rPr>
      <t xml:space="preserve"> Slot (Head Start)</t>
    </r>
  </si>
  <si>
    <t>ABOUT CEELO:</t>
  </si>
  <si>
    <t>One of 22 Comprehensive Centers funded by the U.S. Department of Education’s Office of Elementary and Secondary Education, the Center on Enhancing Early Learning Outcomes (CEELO) will strengthen the capacity of State Education Agencies (SEAs) to lead sustained improvements in early learning opportunities and outcomes. CEELO will work in partnership with SEAs, state and local early childhood leaders, and other federal and national technical assistance (TA) providers to promote innovation and accountability.</t>
  </si>
  <si>
    <t>The Center on Enhancing Early Learning Outcomes (CEELO) is a partnership of the following organizations:</t>
  </si>
  <si>
    <t>This tool was produced by the Center on Enhancing Early Learning Outcomes, with funds from the U.S. Department of Education under cooperative agreement number S283B120054. The content does not necessarily reflect the position or policy of the Department of Education, nor does mention or visual representation of trade names, commercial products, or organizations imply endorsement by the federal government.</t>
  </si>
  <si>
    <t>Suggested citation:</t>
  </si>
  <si>
    <t>For other CEELO products go to http://ceelo.org/ceelo-products.</t>
  </si>
  <si>
    <t>This product was generated in partnership with Third Sector Intelligence, Inc.</t>
  </si>
  <si>
    <t>Third Sector Intelligence (3SI) is a consulting firm specializing in program evaluation, business intelligence and technology services. 3SI focuses on creating a material difference in the work of its clients and the lives of the people they serve. www.team3si.com.</t>
  </si>
  <si>
    <t>Subtotal: Existing Funding from All Sources</t>
  </si>
  <si>
    <t>Existing Funding Streams, i.e., Year 0 (Insert additional rows as needed)</t>
  </si>
  <si>
    <t>Other Funding Stream(s)</t>
  </si>
  <si>
    <t>Subtotal: Existing and Projected Funding by Delivery Model</t>
  </si>
  <si>
    <t>Projected Funding Streams by Delivery Model, by Implementation Year</t>
  </si>
  <si>
    <t>Child Care Centers: Part Day Preschool Funding</t>
  </si>
  <si>
    <t>Full Day Preschool Funding</t>
  </si>
  <si>
    <t>Extended Day Preschool Funding</t>
  </si>
  <si>
    <t>Public PreK:   Part Day Preschool Funding</t>
  </si>
  <si>
    <t>Head Start:   Part Day Preschool Funding</t>
  </si>
  <si>
    <t xml:space="preserve">Project Future Funding Using Existing Funding (Year 0), plus Inflation? </t>
  </si>
  <si>
    <t>[BLANK WORKSHEET FOR SIDE CALCULATIONS AND NOTES]</t>
  </si>
  <si>
    <r>
      <t xml:space="preserve">Churn: % of Existing Coaches </t>
    </r>
    <r>
      <rPr>
        <u/>
        <sz val="11"/>
        <color theme="1"/>
        <rFont val="Calibri"/>
        <family val="2"/>
        <scheme val="minor"/>
      </rPr>
      <t>Leaving</t>
    </r>
    <r>
      <rPr>
        <sz val="11"/>
        <color theme="1"/>
        <rFont val="Calibri"/>
        <family val="2"/>
        <scheme val="minor"/>
      </rPr>
      <t xml:space="preserve"> the Workforce Each Year</t>
    </r>
  </si>
  <si>
    <r>
      <t xml:space="preserve">Churn: % of Existing Assistant Teachers </t>
    </r>
    <r>
      <rPr>
        <u/>
        <sz val="11"/>
        <color theme="1"/>
        <rFont val="Calibri"/>
        <family val="2"/>
        <scheme val="minor"/>
      </rPr>
      <t>Leaving</t>
    </r>
    <r>
      <rPr>
        <sz val="11"/>
        <color theme="1"/>
        <rFont val="Calibri"/>
        <family val="2"/>
        <scheme val="minor"/>
      </rPr>
      <t xml:space="preserve"> the Workforce Each Year</t>
    </r>
  </si>
  <si>
    <t>Type 1</t>
  </si>
  <si>
    <t>Type 2</t>
  </si>
  <si>
    <t>Type 3</t>
  </si>
  <si>
    <t>Type 4</t>
  </si>
  <si>
    <t>Default</t>
  </si>
  <si>
    <t>Cumulative Number of Coaches Required to Service Classroom Caseload - Type 1</t>
  </si>
  <si>
    <t>Total Pre-Existing Coaches (i.e., from Year 0), After Churn - Type 1</t>
  </si>
  <si>
    <t>Entry Schedule of Pre-Existing Coaches into Coaches Training Program, After Churn - Type 1</t>
  </si>
  <si>
    <t>Cumulative Number of Additional Coaches (Years 1+) Required, Before Churn - Type 1</t>
  </si>
  <si>
    <t>Net Number of New Coaches Required per Year, After Churn - Type 1</t>
  </si>
  <si>
    <t>Total Coaches - Type 1</t>
  </si>
  <si>
    <t>Total Coaches Receiving Coaching Training, Including Churn - Type 1</t>
  </si>
  <si>
    <t>Cumulative Number of Coaches Required to Service Classroom Caseload - Type 2</t>
  </si>
  <si>
    <t>Total Pre-Existing Coaches (i.e., from Year 0), After Churn - Type 2</t>
  </si>
  <si>
    <t>Entry Schedule of Pre-Existing Coaches into Coaches Training Program, After Churn - Type 2</t>
  </si>
  <si>
    <t>Cumulative Number of Additional Coaches (Years 1+) Required, Before Churn - Type 2</t>
  </si>
  <si>
    <t>Net Number of New Coaches Required per Year, After Churn - Type 2</t>
  </si>
  <si>
    <t>Total Coaches - Type 2</t>
  </si>
  <si>
    <t>Total Coaches Receiving Coaching Training, Including Churn - Type 2</t>
  </si>
  <si>
    <t>Cumulative Number of Coaches Required to Service Classroom Caseload - Type 3</t>
  </si>
  <si>
    <t>Total Pre-Existing Coaches (i.e., from Year 0), After Churn - Type 3</t>
  </si>
  <si>
    <t>Entry Schedule of Pre-Existing Coaches into Coaches Training Program, After Churn - Type 3</t>
  </si>
  <si>
    <t>Cumulative Number of Additional Coaches (Years 1+) Required, Before Churn - Type 3</t>
  </si>
  <si>
    <t>Net Number of New Coaches Required per Year, After Churn - Type 3</t>
  </si>
  <si>
    <t>Total Coaches - Type 3</t>
  </si>
  <si>
    <t>Total Coaches Receiving Coaching Training, Including Churn - Type 3</t>
  </si>
  <si>
    <t>Cumulative Number of Coaches Required to Service Classroom Caseload - Type 4</t>
  </si>
  <si>
    <t>Total Pre-Existing Coaches (i.e., from Year 0), After Churn - Type 4</t>
  </si>
  <si>
    <t>Entry Schedule of Pre-Existing Coaches into Coaches Training Program, After Churn - Type 4</t>
  </si>
  <si>
    <t>Cumulative Number of Additional Coaches (Years 1+) Required, Before Churn - Type 4</t>
  </si>
  <si>
    <t>Net Number of New Coaches Required per Year, After Churn - Type 4</t>
  </si>
  <si>
    <t>Total Coaches - Type 4</t>
  </si>
  <si>
    <t>Total Coaches Receiving Coaching Training, Including Churn - Type 4</t>
  </si>
  <si>
    <t>Summary Statistics on Coaching</t>
  </si>
  <si>
    <t>Total Coaches - All Types</t>
  </si>
  <si>
    <t>Total Coaches Receiving Coaching Training, Including Churn - All Types</t>
  </si>
  <si>
    <t>All Coaches</t>
  </si>
  <si>
    <t>(Wtd Avg)</t>
  </si>
  <si>
    <t>State-Level Support by Coaching Category</t>
  </si>
  <si>
    <t>Source: Annual Mean Wages by State, http://data.bls.gov/oes/state.do (Period: May 2014)</t>
  </si>
  <si>
    <t>Source: https://hses.ohs.acf.hhs.gov/pir (2013-2014 PIR)</t>
  </si>
  <si>
    <t>Name of Coaching Staff Category (i.e., One for Each Position Type, up to Four Types)</t>
  </si>
  <si>
    <t>Percent of New Facilities Awarded Funds for Startup Costs</t>
  </si>
  <si>
    <t>Subtotal: Number of Additional Facility Sites, Required to Service Slot Plan, Awarded Startup Funds</t>
  </si>
  <si>
    <t>Centers</t>
  </si>
  <si>
    <t>Child Care</t>
  </si>
  <si>
    <t>ECE Program Tuition Support Cost per Year ($)</t>
  </si>
  <si>
    <t>BA Program Tuition Support Cost per Year ($)</t>
  </si>
  <si>
    <t>CDA Program Tuition Support Cost per Year ($)</t>
  </si>
  <si>
    <t>District of Columbia, DC</t>
  </si>
  <si>
    <t>Note: Annual wages have been calculated by BLS by multiplying the hourly mean wage by 2080 hours, except for SOC codes for which wages are only reported annually.  This includes cases where school year employment is less than full-year employment.  The CPQ treats the BLS statistics as representative of full-year employment; therefore, users should consider whether to accept that assumption or else gross-up the reported BLS statistic to derive an equivalent full-year employment annual wage.</t>
  </si>
  <si>
    <t>Note: the splits provided below, from ACS tables, are for all children under 6 years old; therefore, it is assumed that these percentages are accurate for the subset of 3- and 4-year-olds.  Values are interpolated by the CPQ, as needed, up to 500% using the two nearest values in the table below.</t>
  </si>
  <si>
    <r>
      <t xml:space="preserve">Rickus, G., Barnett, W.S. &amp; Nores, M. (2017). </t>
    </r>
    <r>
      <rPr>
        <i/>
        <sz val="11"/>
        <rFont val="Calibri"/>
        <family val="2"/>
        <scheme val="minor"/>
      </rPr>
      <t>Cost of Preschool Quality (CPQ), 2.0 Version.</t>
    </r>
    <r>
      <rPr>
        <sz val="11"/>
        <rFont val="Calibri"/>
        <family val="2"/>
        <scheme val="minor"/>
      </rPr>
      <t xml:space="preserve"> New Brunswick, NJ: Center on Enhancing Early Learning Outcomes.</t>
    </r>
  </si>
  <si>
    <t>na</t>
  </si>
  <si>
    <t>2016-17</t>
  </si>
  <si>
    <t>2017-18</t>
  </si>
  <si>
    <t>2018-19</t>
  </si>
  <si>
    <t>2019-20</t>
  </si>
  <si>
    <t>2020-21</t>
  </si>
  <si>
    <t>2021-22</t>
  </si>
  <si>
    <t>2022-23</t>
  </si>
  <si>
    <t>2023-24</t>
  </si>
  <si>
    <t>Specialists (OT, PT, Speech Language, Nurses, Interpreters)</t>
  </si>
  <si>
    <t>Assistants and Floaters with Mandatory Benefits</t>
  </si>
  <si>
    <t xml:space="preserve">We are assuming 4.45% mandatory benefits for certififed staff and 26% mandatory benefits for classified staff. </t>
  </si>
  <si>
    <t>2024-25</t>
  </si>
  <si>
    <t>2025-26</t>
  </si>
  <si>
    <t>2026-27</t>
  </si>
  <si>
    <t>Confirm that other services (Vision, Hearing, and Other) are intended</t>
  </si>
  <si>
    <t>Should hide Rows 403-408 as was the case with Rows 390-402</t>
  </si>
  <si>
    <t>Should hide Rows 357 as was the case with Rows 358-372</t>
  </si>
  <si>
    <t>Preschool Director - Central Office</t>
  </si>
  <si>
    <t>24 = teachers, 18 = assistants</t>
  </si>
  <si>
    <t xml:space="preserve">teachers = $100/day; assistants = daily classified rate </t>
  </si>
  <si>
    <t xml:space="preserve">Family and Community Coordinator </t>
  </si>
  <si>
    <t>Based on TSG</t>
  </si>
  <si>
    <t>Kentucky Preschool Program - Intermediate</t>
  </si>
  <si>
    <t>KY average teacher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</si>
</sst>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7">
    <numFmt numFmtId="5" formatCode="&quot;$&quot;#,##0_);\(&quot;$&quot;#,##0\)"/>
    <numFmt numFmtId="6" formatCode="&quot;$&quot;#,##0_);[Red]\(&quot;$&quot;#,##0\)"/>
    <numFmt numFmtId="8" formatCode="&quot;$&quot;#,##0.00_);[Red]\(&quot;$&quot;#,##0.00\)"/>
    <numFmt numFmtId="43" formatCode="_(* #,##0.00_);_(* \(#,##0.00\);_(* &quot;-&quot;??_);_(@_)"/>
    <numFmt numFmtId="164" formatCode="_(* #,##0_);_(* \(#,##0\);_(* &quot;-&quot;??_);_(@_)"/>
    <numFmt numFmtId="165" formatCode="&quot;$&quot;#,##0"/>
    <numFmt numFmtId="166" formatCode="0.0%"/>
    <numFmt numFmtId="167" formatCode="&quot;Year &quot;0"/>
    <numFmt numFmtId="168" formatCode="0&quot; weeks&quot;"/>
    <numFmt numFmtId="169" formatCode="0&quot; children&quot;"/>
    <numFmt numFmtId="170" formatCode="0&quot; slots&quot;"/>
    <numFmt numFmtId="171" formatCode="0&quot; classes&quot;"/>
    <numFmt numFmtId="172" formatCode="0.0&quot; classes&quot;"/>
    <numFmt numFmtId="173" formatCode="0&quot; teachers&quot;"/>
    <numFmt numFmtId="174" formatCode="0&quot; classrooms&quot;"/>
    <numFmt numFmtId="175" formatCode="0&quot; years&quot;"/>
    <numFmt numFmtId="176" formatCode="0&quot; sites&quot;"/>
    <numFmt numFmtId="177" formatCode="0&quot; assistants&quot;"/>
    <numFmt numFmtId="178" formatCode="0.0&quot; years&quot;"/>
    <numFmt numFmtId="179" formatCode="0&quot; hours&quot;"/>
    <numFmt numFmtId="180" formatCode="0&quot; site visits&quot;"/>
    <numFmt numFmtId="181" formatCode="&quot;$&quot;#,##0.00"/>
    <numFmt numFmtId="182" formatCode="&quot;$&quot;#,##0&quot;/classroom&quot;"/>
    <numFmt numFmtId="183" formatCode="0.0"/>
    <numFmt numFmtId="184" formatCode="&quot;$&quot;#,##0.00&quot; per meal&quot;"/>
    <numFmt numFmtId="185" formatCode="_(* #,##0.0_);_(* \(#,##0.0\);_(* &quot;-&quot;??_);_(@_)"/>
    <numFmt numFmtId="186" formatCode="0&quot; lead teacher&quot;"/>
    <numFmt numFmtId="187" formatCode="0%&quot; FPL&quot;"/>
    <numFmt numFmtId="188" formatCode="0%&quot; ELL&quot;"/>
    <numFmt numFmtId="189" formatCode="0%&quot; Special Needs&quot;"/>
    <numFmt numFmtId="190" formatCode="0%&quot; Rural&quot;"/>
    <numFmt numFmtId="191" formatCode="0%&quot; ELL/Sp.Needs&quot;"/>
    <numFmt numFmtId="192" formatCode="&quot;$&quot;#,##0.00&quot; per day&quot;"/>
    <numFmt numFmtId="193" formatCode="&quot;$&quot;#,##0.00000"/>
    <numFmt numFmtId="194" formatCode="0&quot; coaches&quot;"/>
    <numFmt numFmtId="195" formatCode="0&quot; classrooms/coach&quot;"/>
    <numFmt numFmtId="196" formatCode="&quot;$&quot;#,##0&quot; per classroom&quot;"/>
    <numFmt numFmtId="197" formatCode="&quot;$&quot;#,##0&quot; per slot&quot;"/>
    <numFmt numFmtId="198" formatCode="&quot;$&quot;#,##0.00&quot; per slot&quot;"/>
    <numFmt numFmtId="199" formatCode="&quot;$&quot;#,##0&quot; per hour&quot;"/>
    <numFmt numFmtId="200" formatCode="&quot;$&quot;#,##0.00&quot; per hour&quot;"/>
    <numFmt numFmtId="201" formatCode="#,##0&quot; FTEs/Site&quot;"/>
    <numFmt numFmtId="202" formatCode="#,##0.0_);\(#,##0.0\)"/>
    <numFmt numFmtId="203" formatCode="0&quot; days&quot;"/>
    <numFmt numFmtId="204" formatCode="&quot;$&quot;#,##0&quot; per FTE&quot;"/>
    <numFmt numFmtId="205" formatCode="&quot;$&quot;#,##0&quot; per child&quot;"/>
    <numFmt numFmtId="206" formatCode="#,##0&quot; sf&quot;"/>
    <numFmt numFmtId="207" formatCode="&quot;$&quot;#,##0.00&quot;/sf&quot;"/>
    <numFmt numFmtId="208" formatCode="&quot;$&quot;#,##0&quot; per site&quot;"/>
    <numFmt numFmtId="209" formatCode="&quot;$&quot;#,##0.0000_);\(&quot;$&quot;#,##0.0000\)"/>
    <numFmt numFmtId="210" formatCode="&quot;Yr&quot;0"/>
    <numFmt numFmtId="211" formatCode="&quot;&lt;&quot;0%"/>
    <numFmt numFmtId="212" formatCode="0.0000"/>
    <numFmt numFmtId="213" formatCode="0%&quot;+&quot;"/>
    <numFmt numFmtId="214" formatCode="&quot;$&quot;#,##0&quot;/site&quot;"/>
    <numFmt numFmtId="215" formatCode="0.000000%"/>
    <numFmt numFmtId="216" formatCode="0.000%"/>
  </numFmts>
  <fonts count="6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b/>
      <sz val="12"/>
      <color theme="1"/>
      <name val="Calibri"/>
      <family val="2"/>
      <scheme val="minor"/>
    </font>
    <font>
      <sz val="11"/>
      <name val="Calibri"/>
      <family val="2"/>
      <scheme val="minor"/>
    </font>
    <font>
      <u/>
      <sz val="11"/>
      <color theme="1"/>
      <name val="Calibri"/>
      <family val="2"/>
      <scheme val="minor"/>
    </font>
    <font>
      <sz val="14"/>
      <color theme="1"/>
      <name val="Calibri"/>
      <family val="2"/>
      <scheme val="minor"/>
    </font>
    <font>
      <b/>
      <sz val="11"/>
      <name val="Calibri"/>
      <family val="2"/>
      <scheme val="minor"/>
    </font>
    <font>
      <b/>
      <i/>
      <sz val="12"/>
      <color theme="0"/>
      <name val="Calibri"/>
      <family val="2"/>
      <scheme val="minor"/>
    </font>
    <font>
      <b/>
      <sz val="11"/>
      <color theme="0" tint="-0.249977111117893"/>
      <name val="Calibri"/>
      <family val="2"/>
      <scheme val="minor"/>
    </font>
    <font>
      <sz val="9"/>
      <color theme="0"/>
      <name val="Calibri"/>
      <family val="2"/>
      <scheme val="minor"/>
    </font>
    <font>
      <b/>
      <sz val="12"/>
      <name val="Calibri"/>
      <family val="2"/>
      <scheme val="minor"/>
    </font>
    <font>
      <sz val="12"/>
      <color theme="1"/>
      <name val="Calibri"/>
      <family val="2"/>
      <scheme val="minor"/>
    </font>
    <font>
      <b/>
      <i/>
      <u/>
      <sz val="12"/>
      <color rgb="FFFFFF99"/>
      <name val="Calibri"/>
      <family val="2"/>
      <scheme val="minor"/>
    </font>
    <font>
      <sz val="12"/>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b/>
      <sz val="11"/>
      <color theme="1"/>
      <name val="Calibri"/>
      <family val="2"/>
    </font>
    <font>
      <sz val="11"/>
      <color theme="0"/>
      <name val="Calibri"/>
      <family val="2"/>
      <scheme val="minor"/>
    </font>
    <font>
      <b/>
      <i/>
      <sz val="12"/>
      <color theme="1"/>
      <name val="Calibri"/>
      <family val="2"/>
      <scheme val="minor"/>
    </font>
    <font>
      <b/>
      <sz val="14"/>
      <color theme="0"/>
      <name val="Calibri"/>
      <family val="2"/>
      <scheme val="minor"/>
    </font>
    <font>
      <u/>
      <sz val="11"/>
      <color theme="10"/>
      <name val="Calibri"/>
      <family val="2"/>
      <scheme val="minor"/>
    </font>
    <font>
      <b/>
      <u/>
      <sz val="14"/>
      <name val="Calibri"/>
      <family val="2"/>
      <scheme val="minor"/>
    </font>
    <font>
      <i/>
      <sz val="11"/>
      <color theme="1"/>
      <name val="Calibri"/>
      <family val="2"/>
      <scheme val="minor"/>
    </font>
    <font>
      <b/>
      <i/>
      <sz val="11"/>
      <color theme="0"/>
      <name val="Calibri"/>
      <family val="2"/>
      <scheme val="minor"/>
    </font>
    <font>
      <b/>
      <i/>
      <sz val="11"/>
      <name val="Calibri"/>
      <family val="2"/>
      <scheme val="minor"/>
    </font>
    <font>
      <b/>
      <i/>
      <sz val="12"/>
      <name val="Calibri"/>
      <family val="2"/>
      <scheme val="minor"/>
    </font>
    <font>
      <b/>
      <i/>
      <sz val="9"/>
      <color theme="0"/>
      <name val="Calibri"/>
      <family val="2"/>
      <scheme val="minor"/>
    </font>
    <font>
      <b/>
      <i/>
      <sz val="11"/>
      <color theme="1"/>
      <name val="Calibri"/>
      <family val="2"/>
      <scheme val="minor"/>
    </font>
    <font>
      <sz val="10"/>
      <name val="Calibri"/>
      <family val="2"/>
      <scheme val="minor"/>
    </font>
    <font>
      <i/>
      <sz val="10"/>
      <color theme="1"/>
      <name val="Calibri"/>
      <family val="2"/>
      <scheme val="minor"/>
    </font>
    <font>
      <b/>
      <sz val="9"/>
      <name val="Calibri"/>
      <family val="2"/>
      <scheme val="minor"/>
    </font>
    <font>
      <b/>
      <sz val="9"/>
      <color theme="1"/>
      <name val="Calibri"/>
      <family val="2"/>
      <scheme val="minor"/>
    </font>
    <font>
      <sz val="9"/>
      <color theme="1"/>
      <name val="Calibri"/>
      <family val="2"/>
      <scheme val="minor"/>
    </font>
    <font>
      <b/>
      <u val="double"/>
      <sz val="11"/>
      <color theme="1"/>
      <name val="Calibri"/>
      <family val="2"/>
      <scheme val="minor"/>
    </font>
    <font>
      <b/>
      <u/>
      <sz val="11"/>
      <color theme="1"/>
      <name val="Calibri"/>
      <family val="2"/>
      <scheme val="minor"/>
    </font>
    <font>
      <b/>
      <sz val="8"/>
      <color theme="1"/>
      <name val="Calibri"/>
      <family val="2"/>
      <scheme val="minor"/>
    </font>
    <font>
      <b/>
      <i/>
      <u/>
      <sz val="12"/>
      <color theme="1"/>
      <name val="Calibri"/>
      <family val="2"/>
      <scheme val="minor"/>
    </font>
    <font>
      <b/>
      <i/>
      <sz val="10"/>
      <color theme="1"/>
      <name val="Calibri"/>
      <family val="2"/>
      <scheme val="minor"/>
    </font>
    <font>
      <sz val="8"/>
      <color theme="1"/>
      <name val="Calibri"/>
      <family val="2"/>
      <scheme val="minor"/>
    </font>
    <font>
      <b/>
      <sz val="14"/>
      <color rgb="FFFF0000"/>
      <name val="Calibri"/>
      <family val="2"/>
      <scheme val="minor"/>
    </font>
    <font>
      <i/>
      <sz val="8"/>
      <color theme="1"/>
      <name val="Calibri"/>
      <family val="2"/>
      <scheme val="minor"/>
    </font>
    <font>
      <sz val="11"/>
      <color rgb="FFFF0000"/>
      <name val="Calibri"/>
      <family val="2"/>
      <scheme val="minor"/>
    </font>
    <font>
      <i/>
      <sz val="12"/>
      <name val="Calibri"/>
      <family val="2"/>
      <scheme val="minor"/>
    </font>
    <font>
      <vertAlign val="superscript"/>
      <sz val="11"/>
      <color theme="1"/>
      <name val="Calibri"/>
      <family val="2"/>
      <scheme val="minor"/>
    </font>
    <font>
      <sz val="10"/>
      <color rgb="FFFF0000"/>
      <name val="Times New Roman"/>
      <family val="1"/>
    </font>
    <font>
      <sz val="10"/>
      <color rgb="FFFF0000"/>
      <name val="Calibri"/>
      <family val="2"/>
      <scheme val="minor"/>
    </font>
    <font>
      <sz val="9"/>
      <color rgb="FFFF0000"/>
      <name val="Calibri"/>
      <family val="2"/>
      <scheme val="minor"/>
    </font>
    <font>
      <sz val="8"/>
      <color rgb="FFFF0000"/>
      <name val="Calibri"/>
      <family val="2"/>
      <scheme val="minor"/>
    </font>
    <font>
      <b/>
      <sz val="12"/>
      <name val="Arial"/>
      <family val="2"/>
    </font>
    <font>
      <sz val="10"/>
      <name val="Arial"/>
      <family val="2"/>
    </font>
    <font>
      <i/>
      <sz val="10"/>
      <color rgb="FFFF0000"/>
      <name val="Arial"/>
      <family val="2"/>
    </font>
    <font>
      <b/>
      <sz val="10"/>
      <name val="Arial"/>
      <family val="2"/>
    </font>
    <font>
      <i/>
      <sz val="11"/>
      <color theme="1"/>
      <name val="Calibri"/>
      <family val="2"/>
    </font>
    <font>
      <b/>
      <sz val="11"/>
      <color rgb="FF578DC5"/>
      <name val="Calibri"/>
      <family val="2"/>
      <scheme val="minor"/>
    </font>
    <font>
      <sz val="11"/>
      <color rgb="FF808080"/>
      <name val="Cambria"/>
      <family val="1"/>
    </font>
    <font>
      <sz val="12"/>
      <color theme="1"/>
      <name val="Cambria"/>
      <family val="1"/>
    </font>
    <font>
      <i/>
      <sz val="11"/>
      <name val="Calibri"/>
      <family val="2"/>
      <scheme val="minor"/>
    </font>
    <font>
      <b/>
      <sz val="11"/>
      <color rgb="FFFF0000"/>
      <name val="Calibri"/>
      <family val="2"/>
      <scheme val="minor"/>
    </font>
    <font>
      <i/>
      <sz val="10"/>
      <color rgb="FFFF0000"/>
      <name val="Calibri"/>
      <family val="2"/>
      <scheme val="minor"/>
    </font>
    <font>
      <u/>
      <sz val="11"/>
      <color rgb="FFFF0000"/>
      <name val="Calibri"/>
      <family val="2"/>
      <scheme val="minor"/>
    </font>
    <font>
      <i/>
      <sz val="11"/>
      <color rgb="FFFF0000"/>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theme="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39997558519241921"/>
        <bgColor indexed="64"/>
      </patternFill>
    </fill>
  </fills>
  <borders count="5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top/>
      <bottom style="thin">
        <color auto="1"/>
      </bottom>
      <diagonal/>
    </border>
    <border>
      <left/>
      <right/>
      <top style="thin">
        <color auto="1"/>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top/>
      <bottom style="thick">
        <color theme="4"/>
      </bottom>
      <diagonal/>
    </border>
    <border>
      <left style="medium">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cellStyleXfs>
  <cellXfs count="790">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0" xfId="0" applyAlignment="1">
      <alignment horizontal="right"/>
    </xf>
    <xf numFmtId="0" fontId="0" fillId="0" borderId="7" xfId="0" applyBorder="1"/>
    <xf numFmtId="0" fontId="0" fillId="2" borderId="7" xfId="0" applyFill="1" applyBorder="1"/>
    <xf numFmtId="0" fontId="0" fillId="0" borderId="1" xfId="0" applyBorder="1" applyAlignment="1">
      <alignment horizontal="left"/>
    </xf>
    <xf numFmtId="9" fontId="0" fillId="2" borderId="1" xfId="2" applyFont="1" applyFill="1" applyBorder="1"/>
    <xf numFmtId="0" fontId="2" fillId="0" borderId="0" xfId="0" applyFont="1" applyBorder="1" applyAlignment="1">
      <alignment horizontal="left" indent="2"/>
    </xf>
    <xf numFmtId="0" fontId="0" fillId="0" borderId="1" xfId="0" applyBorder="1" applyAlignment="1">
      <alignment horizontal="left" indent="2"/>
    </xf>
    <xf numFmtId="0" fontId="2" fillId="0" borderId="1" xfId="0" applyFont="1" applyBorder="1" applyAlignment="1">
      <alignment horizontal="left" indent="2"/>
    </xf>
    <xf numFmtId="165" fontId="0" fillId="2" borderId="1" xfId="0" applyNumberFormat="1" applyFill="1" applyBorder="1"/>
    <xf numFmtId="0" fontId="0" fillId="0" borderId="1" xfId="0" applyFont="1" applyBorder="1" applyAlignment="1">
      <alignment horizontal="left"/>
    </xf>
    <xf numFmtId="0" fontId="0" fillId="0" borderId="1" xfId="0" applyFont="1" applyBorder="1" applyAlignment="1">
      <alignment horizontal="left" indent="2"/>
    </xf>
    <xf numFmtId="164" fontId="0" fillId="0" borderId="1" xfId="1" applyNumberFormat="1" applyFont="1" applyBorder="1" applyAlignment="1">
      <alignment wrapText="1"/>
    </xf>
    <xf numFmtId="0" fontId="2" fillId="0" borderId="1" xfId="0" applyFont="1" applyBorder="1"/>
    <xf numFmtId="0" fontId="3" fillId="0" borderId="0" xfId="0" applyFont="1"/>
    <xf numFmtId="0" fontId="5" fillId="0" borderId="0" xfId="0" applyFont="1" applyBorder="1"/>
    <xf numFmtId="0" fontId="0" fillId="0" borderId="0" xfId="0" applyBorder="1"/>
    <xf numFmtId="0" fontId="0" fillId="0" borderId="0" xfId="0" applyFill="1" applyBorder="1"/>
    <xf numFmtId="0" fontId="0" fillId="0" borderId="0" xfId="0" applyBorder="1" applyAlignment="1">
      <alignment horizontal="left"/>
    </xf>
    <xf numFmtId="0" fontId="2" fillId="0" borderId="1" xfId="0" applyFont="1" applyFill="1" applyBorder="1" applyAlignment="1">
      <alignment horizontal="left" indent="2"/>
    </xf>
    <xf numFmtId="0" fontId="0" fillId="0" borderId="1" xfId="0" applyFont="1" applyBorder="1"/>
    <xf numFmtId="9" fontId="0" fillId="0" borderId="1" xfId="0" applyNumberFormat="1" applyFont="1" applyBorder="1"/>
    <xf numFmtId="0" fontId="0" fillId="0" borderId="9" xfId="0" applyBorder="1"/>
    <xf numFmtId="0" fontId="0" fillId="0" borderId="11" xfId="0" applyBorder="1"/>
    <xf numFmtId="0" fontId="0" fillId="0" borderId="13" xfId="0" applyBorder="1"/>
    <xf numFmtId="9" fontId="0" fillId="2" borderId="1" xfId="0" applyNumberFormat="1" applyFont="1" applyFill="1" applyBorder="1"/>
    <xf numFmtId="0" fontId="0" fillId="0" borderId="14" xfId="0" applyBorder="1"/>
    <xf numFmtId="0" fontId="0" fillId="0" borderId="0" xfId="0" applyBorder="1" applyAlignment="1">
      <alignment horizontal="center"/>
    </xf>
    <xf numFmtId="0" fontId="8" fillId="0" borderId="0" xfId="0" applyFont="1"/>
    <xf numFmtId="0" fontId="3" fillId="0" borderId="0" xfId="0" applyFont="1" applyAlignment="1">
      <alignment horizontal="right"/>
    </xf>
    <xf numFmtId="0" fontId="0" fillId="2" borderId="12" xfId="0" applyFill="1" applyBorder="1"/>
    <xf numFmtId="165" fontId="0" fillId="0" borderId="1" xfId="0" applyNumberFormat="1" applyBorder="1" applyAlignment="1">
      <alignment horizontal="center"/>
    </xf>
    <xf numFmtId="0" fontId="9" fillId="0" borderId="1" xfId="0" applyFont="1" applyFill="1" applyBorder="1" applyAlignment="1">
      <alignment horizontal="right" wrapText="1"/>
    </xf>
    <xf numFmtId="0" fontId="5" fillId="0" borderId="10" xfId="0" applyFont="1" applyBorder="1"/>
    <xf numFmtId="0" fontId="5" fillId="0" borderId="13" xfId="0" applyFont="1" applyBorder="1"/>
    <xf numFmtId="0" fontId="5" fillId="0" borderId="11" xfId="0" applyFont="1" applyBorder="1"/>
    <xf numFmtId="0" fontId="5" fillId="0" borderId="14" xfId="0" applyFont="1" applyBorder="1"/>
    <xf numFmtId="0" fontId="9" fillId="0" borderId="6" xfId="0" applyFont="1" applyFill="1" applyBorder="1" applyAlignment="1">
      <alignment horizontal="right" wrapText="1"/>
    </xf>
    <xf numFmtId="0" fontId="4" fillId="0" borderId="0" xfId="0" applyFont="1" applyFill="1" applyBorder="1" applyAlignment="1"/>
    <xf numFmtId="0" fontId="0" fillId="4" borderId="0" xfId="0" applyFill="1"/>
    <xf numFmtId="0" fontId="5" fillId="0" borderId="10" xfId="0" applyFont="1" applyBorder="1" applyAlignment="1">
      <alignment vertical="center"/>
    </xf>
    <xf numFmtId="0" fontId="5" fillId="0" borderId="6" xfId="0" applyFont="1" applyBorder="1"/>
    <xf numFmtId="0" fontId="5" fillId="0" borderId="11" xfId="0" applyFont="1" applyBorder="1" applyAlignment="1">
      <alignment horizontal="left" vertical="center"/>
    </xf>
    <xf numFmtId="0" fontId="5" fillId="0" borderId="13" xfId="0" applyFont="1" applyBorder="1" applyAlignment="1">
      <alignment horizontal="left" vertical="center"/>
    </xf>
    <xf numFmtId="0" fontId="0" fillId="4" borderId="0" xfId="0" applyFill="1" applyAlignment="1">
      <alignment horizontal="center"/>
    </xf>
    <xf numFmtId="0" fontId="10" fillId="4" borderId="0" xfId="0" applyFont="1" applyFill="1"/>
    <xf numFmtId="0" fontId="0" fillId="0" borderId="0" xfId="0" applyBorder="1" applyAlignment="1">
      <alignment wrapText="1"/>
    </xf>
    <xf numFmtId="0" fontId="2" fillId="0" borderId="1" xfId="0" applyFont="1" applyBorder="1" applyAlignment="1">
      <alignment horizontal="left" indent="4"/>
    </xf>
    <xf numFmtId="167" fontId="9" fillId="0" borderId="1" xfId="0" applyNumberFormat="1" applyFont="1" applyFill="1" applyBorder="1" applyAlignment="1">
      <alignment horizontal="right" wrapText="1"/>
    </xf>
    <xf numFmtId="0" fontId="2" fillId="0" borderId="13" xfId="0" applyFont="1" applyBorder="1"/>
    <xf numFmtId="165" fontId="2" fillId="0" borderId="1" xfId="0" applyNumberFormat="1" applyFont="1" applyBorder="1"/>
    <xf numFmtId="0" fontId="2" fillId="0" borderId="1" xfId="0" applyFont="1" applyFill="1" applyBorder="1"/>
    <xf numFmtId="0" fontId="2" fillId="0" borderId="6" xfId="0" applyFont="1" applyBorder="1"/>
    <xf numFmtId="0" fontId="9" fillId="0" borderId="3" xfId="0" applyFont="1" applyFill="1" applyBorder="1" applyAlignment="1">
      <alignment horizontal="center"/>
    </xf>
    <xf numFmtId="0" fontId="9" fillId="0" borderId="8" xfId="0" applyFont="1" applyFill="1" applyBorder="1" applyAlignment="1">
      <alignment horizontal="center"/>
    </xf>
    <xf numFmtId="0" fontId="9" fillId="0" borderId="4" xfId="0" applyFont="1" applyFill="1" applyBorder="1" applyAlignment="1">
      <alignment horizontal="center"/>
    </xf>
    <xf numFmtId="0" fontId="2" fillId="0" borderId="1" xfId="0" applyFont="1" applyBorder="1" applyAlignment="1">
      <alignment horizontal="left"/>
    </xf>
    <xf numFmtId="0" fontId="0" fillId="0" borderId="3" xfId="0" applyFont="1" applyBorder="1" applyAlignment="1">
      <alignment horizontal="left" indent="2"/>
    </xf>
    <xf numFmtId="0" fontId="2" fillId="0" borderId="3" xfId="0" applyFont="1" applyBorder="1" applyAlignment="1">
      <alignment horizontal="left"/>
    </xf>
    <xf numFmtId="0" fontId="5" fillId="0" borderId="0" xfId="0" applyFont="1"/>
    <xf numFmtId="0" fontId="0" fillId="0" borderId="3" xfId="0" applyFont="1" applyBorder="1" applyAlignment="1">
      <alignment horizontal="left" indent="1"/>
    </xf>
    <xf numFmtId="0" fontId="2" fillId="0" borderId="3" xfId="0" applyFont="1" applyBorder="1" applyAlignment="1">
      <alignment horizontal="left" indent="1"/>
    </xf>
    <xf numFmtId="0" fontId="13" fillId="0" borderId="0" xfId="0" applyFont="1" applyFill="1" applyBorder="1" applyAlignment="1">
      <alignment horizontal="right" wrapText="1"/>
    </xf>
    <xf numFmtId="167" fontId="13" fillId="0" borderId="7" xfId="0" applyNumberFormat="1" applyFont="1" applyFill="1" applyBorder="1" applyAlignment="1">
      <alignment horizontal="right" wrapText="1"/>
    </xf>
    <xf numFmtId="0" fontId="14" fillId="0" borderId="0" xfId="0" applyFont="1"/>
    <xf numFmtId="164" fontId="0" fillId="0" borderId="14" xfId="1" applyNumberFormat="1" applyFont="1" applyFill="1" applyBorder="1" applyAlignment="1">
      <alignment wrapText="1"/>
    </xf>
    <xf numFmtId="0" fontId="0" fillId="0" borderId="14" xfId="0" applyFill="1" applyBorder="1"/>
    <xf numFmtId="0" fontId="0" fillId="0" borderId="1" xfId="0" applyBorder="1" applyAlignment="1">
      <alignment horizontal="left" wrapText="1"/>
    </xf>
    <xf numFmtId="0" fontId="0" fillId="0" borderId="1" xfId="0" applyBorder="1" applyAlignment="1">
      <alignment horizontal="left" wrapText="1" indent="2"/>
    </xf>
    <xf numFmtId="0" fontId="0" fillId="2" borderId="1" xfId="0" applyFill="1" applyBorder="1"/>
    <xf numFmtId="0" fontId="0" fillId="0" borderId="6" xfId="0" applyFill="1" applyBorder="1"/>
    <xf numFmtId="0" fontId="0" fillId="0" borderId="0" xfId="0"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167" fontId="9" fillId="0" borderId="3" xfId="0" applyNumberFormat="1" applyFont="1" applyFill="1" applyBorder="1" applyAlignment="1">
      <alignment horizontal="right" wrapText="1"/>
    </xf>
    <xf numFmtId="0" fontId="0" fillId="0" borderId="17" xfId="0" applyBorder="1" applyAlignment="1">
      <alignment horizontal="center"/>
    </xf>
    <xf numFmtId="0" fontId="0" fillId="0" borderId="16" xfId="0" applyBorder="1" applyAlignment="1">
      <alignment horizontal="center"/>
    </xf>
    <xf numFmtId="9" fontId="0" fillId="0" borderId="17" xfId="0" applyNumberFormat="1" applyBorder="1" applyAlignment="1">
      <alignment horizontal="center"/>
    </xf>
    <xf numFmtId="0" fontId="2" fillId="0" borderId="3" xfId="0" applyFont="1" applyFill="1" applyBorder="1"/>
    <xf numFmtId="0" fontId="12" fillId="0" borderId="11" xfId="0" applyFont="1" applyFill="1" applyBorder="1" applyAlignment="1">
      <alignment horizontal="center"/>
    </xf>
    <xf numFmtId="0" fontId="11" fillId="0" borderId="13" xfId="0" applyFont="1" applyFill="1" applyBorder="1" applyAlignment="1">
      <alignment horizontal="center"/>
    </xf>
    <xf numFmtId="0" fontId="2" fillId="0" borderId="14" xfId="0" applyFont="1" applyBorder="1" applyAlignment="1">
      <alignment horizontal="left" indent="2"/>
    </xf>
    <xf numFmtId="0" fontId="0" fillId="0" borderId="0" xfId="0" applyFont="1" applyFill="1" applyBorder="1" applyAlignment="1">
      <alignment horizontal="center"/>
    </xf>
    <xf numFmtId="0" fontId="2" fillId="0" borderId="3" xfId="0" applyFont="1" applyBorder="1"/>
    <xf numFmtId="0" fontId="2" fillId="0" borderId="8" xfId="0" applyFont="1" applyBorder="1"/>
    <xf numFmtId="9" fontId="0" fillId="2" borderId="1" xfId="0" applyNumberFormat="1" applyFill="1" applyBorder="1" applyAlignment="1">
      <alignment horizontal="right"/>
    </xf>
    <xf numFmtId="9" fontId="0" fillId="2" borderId="1" xfId="2" applyFont="1" applyFill="1" applyBorder="1" applyAlignment="1">
      <alignment horizontal="right"/>
    </xf>
    <xf numFmtId="9" fontId="2" fillId="0" borderId="1" xfId="2" applyFont="1" applyFill="1" applyBorder="1" applyAlignment="1">
      <alignment horizontal="right"/>
    </xf>
    <xf numFmtId="0" fontId="0" fillId="0" borderId="0" xfId="0" applyFill="1" applyBorder="1" applyAlignment="1">
      <alignment horizontal="right"/>
    </xf>
    <xf numFmtId="0" fontId="0" fillId="2" borderId="1" xfId="0" applyFill="1" applyBorder="1" applyAlignment="1">
      <alignment horizontal="right"/>
    </xf>
    <xf numFmtId="0" fontId="6" fillId="2" borderId="1" xfId="0" applyFont="1" applyFill="1" applyBorder="1" applyAlignment="1">
      <alignment horizontal="right"/>
    </xf>
    <xf numFmtId="9" fontId="6" fillId="2" borderId="1" xfId="0" applyNumberFormat="1" applyFont="1" applyFill="1" applyBorder="1" applyAlignment="1">
      <alignment horizontal="right"/>
    </xf>
    <xf numFmtId="0" fontId="0" fillId="0" borderId="1" xfId="0" applyBorder="1" applyAlignment="1">
      <alignment horizontal="right"/>
    </xf>
    <xf numFmtId="0" fontId="2" fillId="0" borderId="4" xfId="0" applyFont="1" applyFill="1" applyBorder="1" applyAlignment="1">
      <alignment horizontal="left" indent="2"/>
    </xf>
    <xf numFmtId="0" fontId="0" fillId="0" borderId="0" xfId="0" applyFont="1" applyFill="1" applyBorder="1"/>
    <xf numFmtId="9" fontId="0" fillId="2" borderId="3" xfId="2" applyFont="1" applyFill="1" applyBorder="1"/>
    <xf numFmtId="9" fontId="0" fillId="0" borderId="17" xfId="2" applyFont="1" applyBorder="1" applyAlignment="1">
      <alignment horizontal="center"/>
    </xf>
    <xf numFmtId="9" fontId="6" fillId="0" borderId="15" xfId="0" applyNumberFormat="1" applyFont="1" applyFill="1" applyBorder="1" applyAlignment="1">
      <alignment horizontal="center"/>
    </xf>
    <xf numFmtId="9" fontId="0" fillId="0" borderId="17" xfId="0" applyNumberFormat="1" applyFont="1" applyFill="1" applyBorder="1" applyAlignment="1">
      <alignment horizontal="center"/>
    </xf>
    <xf numFmtId="9" fontId="0" fillId="0" borderId="17" xfId="2" applyFont="1" applyFill="1" applyBorder="1" applyAlignment="1">
      <alignment horizontal="center"/>
    </xf>
    <xf numFmtId="9" fontId="6" fillId="0" borderId="17" xfId="0" applyNumberFormat="1" applyFont="1" applyFill="1" applyBorder="1" applyAlignment="1">
      <alignment horizontal="center"/>
    </xf>
    <xf numFmtId="0" fontId="6" fillId="0" borderId="17" xfId="0" applyFont="1" applyFill="1" applyBorder="1" applyAlignment="1">
      <alignment horizontal="center"/>
    </xf>
    <xf numFmtId="6" fontId="6" fillId="0" borderId="17" xfId="0" applyNumberFormat="1" applyFont="1" applyFill="1" applyBorder="1" applyAlignment="1">
      <alignment horizontal="center"/>
    </xf>
    <xf numFmtId="6" fontId="6" fillId="0" borderId="16" xfId="0" applyNumberFormat="1" applyFont="1" applyFill="1" applyBorder="1" applyAlignment="1">
      <alignment horizontal="center"/>
    </xf>
    <xf numFmtId="0" fontId="2" fillId="0" borderId="9" xfId="0" applyFont="1" applyFill="1" applyBorder="1" applyAlignment="1">
      <alignment horizontal="left" indent="2"/>
    </xf>
    <xf numFmtId="0" fontId="2" fillId="0" borderId="5" xfId="0" applyFont="1" applyFill="1" applyBorder="1" applyAlignment="1">
      <alignment horizontal="left" indent="2"/>
    </xf>
    <xf numFmtId="166" fontId="0" fillId="0" borderId="16" xfId="2" applyNumberFormat="1" applyFont="1" applyBorder="1" applyAlignment="1">
      <alignment horizontal="center"/>
    </xf>
    <xf numFmtId="9" fontId="2" fillId="0" borderId="1" xfId="2" applyFont="1" applyFill="1" applyBorder="1"/>
    <xf numFmtId="9" fontId="2" fillId="0" borderId="17" xfId="2" applyFont="1" applyBorder="1" applyAlignment="1">
      <alignment horizontal="center"/>
    </xf>
    <xf numFmtId="168" fontId="0" fillId="0" borderId="15" xfId="0" applyNumberFormat="1" applyFill="1" applyBorder="1" applyAlignment="1">
      <alignment horizontal="center"/>
    </xf>
    <xf numFmtId="168" fontId="0" fillId="0" borderId="17" xfId="0" applyNumberFormat="1" applyFill="1" applyBorder="1" applyAlignment="1">
      <alignment horizontal="center"/>
    </xf>
    <xf numFmtId="168" fontId="0" fillId="0" borderId="16" xfId="0" applyNumberFormat="1" applyFill="1" applyBorder="1" applyAlignment="1">
      <alignment horizontal="center"/>
    </xf>
    <xf numFmtId="169" fontId="0" fillId="0" borderId="17" xfId="0" applyNumberFormat="1" applyBorder="1" applyAlignment="1">
      <alignment horizontal="center"/>
    </xf>
    <xf numFmtId="170" fontId="0" fillId="0" borderId="17" xfId="0" applyNumberFormat="1" applyBorder="1" applyAlignment="1">
      <alignment horizontal="center"/>
    </xf>
    <xf numFmtId="170" fontId="2" fillId="0" borderId="16" xfId="0" applyNumberFormat="1" applyFont="1" applyBorder="1" applyAlignment="1">
      <alignment horizontal="center"/>
    </xf>
    <xf numFmtId="169" fontId="0" fillId="0" borderId="16" xfId="0" applyNumberFormat="1" applyBorder="1" applyAlignment="1">
      <alignment horizontal="center"/>
    </xf>
    <xf numFmtId="171" fontId="0" fillId="0" borderId="15" xfId="0" applyNumberFormat="1" applyBorder="1" applyAlignment="1">
      <alignment horizontal="center"/>
    </xf>
    <xf numFmtId="171" fontId="0" fillId="0" borderId="17" xfId="0" applyNumberFormat="1" applyBorder="1" applyAlignment="1">
      <alignment horizontal="center"/>
    </xf>
    <xf numFmtId="171" fontId="2" fillId="0" borderId="16" xfId="0" applyNumberFormat="1" applyFont="1" applyBorder="1" applyAlignment="1">
      <alignment horizontal="center"/>
    </xf>
    <xf numFmtId="172" fontId="0" fillId="0" borderId="17" xfId="0" applyNumberFormat="1" applyBorder="1" applyAlignment="1">
      <alignment horizontal="center"/>
    </xf>
    <xf numFmtId="172" fontId="0" fillId="0" borderId="15" xfId="0" applyNumberFormat="1" applyBorder="1" applyAlignment="1">
      <alignment horizontal="center"/>
    </xf>
    <xf numFmtId="172" fontId="0" fillId="0" borderId="16" xfId="0" applyNumberFormat="1" applyBorder="1" applyAlignment="1">
      <alignment horizontal="center"/>
    </xf>
    <xf numFmtId="173" fontId="2" fillId="0" borderId="15" xfId="0" applyNumberFormat="1" applyFont="1" applyBorder="1" applyAlignment="1">
      <alignment horizontal="center"/>
    </xf>
    <xf numFmtId="174" fontId="0" fillId="0" borderId="17" xfId="0" applyNumberFormat="1" applyBorder="1" applyAlignment="1">
      <alignment horizontal="center"/>
    </xf>
    <xf numFmtId="176" fontId="0" fillId="0" borderId="15" xfId="0" applyNumberFormat="1" applyBorder="1" applyAlignment="1">
      <alignment horizontal="center"/>
    </xf>
    <xf numFmtId="176" fontId="0" fillId="0" borderId="17" xfId="0" applyNumberFormat="1" applyBorder="1" applyAlignment="1">
      <alignment horizontal="center"/>
    </xf>
    <xf numFmtId="177" fontId="2" fillId="0" borderId="16" xfId="0" applyNumberFormat="1" applyFont="1" applyBorder="1" applyAlignment="1">
      <alignment horizontal="center"/>
    </xf>
    <xf numFmtId="173" fontId="0" fillId="0" borderId="17" xfId="0" applyNumberFormat="1" applyFont="1" applyFill="1" applyBorder="1" applyAlignment="1">
      <alignment horizontal="center"/>
    </xf>
    <xf numFmtId="173" fontId="0" fillId="0" borderId="16" xfId="0" applyNumberFormat="1" applyFont="1" applyFill="1" applyBorder="1" applyAlignment="1">
      <alignment horizontal="center"/>
    </xf>
    <xf numFmtId="178" fontId="6" fillId="0" borderId="17" xfId="0" applyNumberFormat="1" applyFont="1" applyFill="1" applyBorder="1" applyAlignment="1">
      <alignment horizontal="center"/>
    </xf>
    <xf numFmtId="177" fontId="0" fillId="0" borderId="17" xfId="0" applyNumberFormat="1" applyFont="1" applyFill="1" applyBorder="1" applyAlignment="1">
      <alignment horizontal="center"/>
    </xf>
    <xf numFmtId="177" fontId="0" fillId="0" borderId="16" xfId="0" applyNumberFormat="1" applyFont="1" applyFill="1" applyBorder="1" applyAlignment="1">
      <alignment horizontal="center"/>
    </xf>
    <xf numFmtId="176" fontId="2" fillId="0" borderId="0" xfId="0" applyNumberFormat="1" applyFont="1" applyBorder="1" applyAlignment="1">
      <alignment horizontal="center"/>
    </xf>
    <xf numFmtId="176" fontId="2" fillId="0" borderId="16" xfId="0" applyNumberFormat="1" applyFont="1" applyBorder="1" applyAlignment="1">
      <alignment horizontal="center"/>
    </xf>
    <xf numFmtId="175" fontId="0" fillId="0" borderId="15" xfId="0" applyNumberFormat="1" applyBorder="1" applyAlignment="1">
      <alignment horizontal="center"/>
    </xf>
    <xf numFmtId="165" fontId="0" fillId="0" borderId="16" xfId="0" applyNumberFormat="1" applyBorder="1" applyAlignment="1">
      <alignment horizontal="center"/>
    </xf>
    <xf numFmtId="174" fontId="0" fillId="0" borderId="16" xfId="0" applyNumberFormat="1" applyBorder="1" applyAlignment="1">
      <alignment horizontal="center"/>
    </xf>
    <xf numFmtId="0" fontId="2" fillId="0" borderId="9" xfId="0" applyFont="1" applyBorder="1" applyAlignment="1">
      <alignment horizontal="left" indent="2"/>
    </xf>
    <xf numFmtId="0" fontId="2" fillId="0" borderId="5" xfId="0" applyFont="1" applyBorder="1" applyAlignment="1">
      <alignment horizontal="left" indent="2"/>
    </xf>
    <xf numFmtId="0" fontId="2" fillId="0" borderId="4" xfId="0" applyFont="1" applyBorder="1" applyAlignment="1">
      <alignment horizontal="left" indent="2"/>
    </xf>
    <xf numFmtId="0" fontId="0" fillId="0" borderId="9" xfId="0" applyBorder="1" applyAlignment="1">
      <alignment horizontal="left"/>
    </xf>
    <xf numFmtId="0" fontId="0" fillId="0" borderId="5" xfId="0" applyBorder="1" applyAlignment="1">
      <alignment horizontal="left"/>
    </xf>
    <xf numFmtId="9" fontId="2" fillId="0" borderId="3" xfId="2" applyFont="1" applyFill="1" applyBorder="1"/>
    <xf numFmtId="9" fontId="0" fillId="0" borderId="15" xfId="2" applyFont="1" applyBorder="1" applyAlignment="1">
      <alignment horizontal="center"/>
    </xf>
    <xf numFmtId="180" fontId="2" fillId="0" borderId="17" xfId="0" applyNumberFormat="1" applyFont="1" applyBorder="1" applyAlignment="1">
      <alignment horizontal="center"/>
    </xf>
    <xf numFmtId="165" fontId="2" fillId="0" borderId="16" xfId="0" applyNumberFormat="1" applyFont="1" applyBorder="1" applyAlignment="1">
      <alignment horizontal="center"/>
    </xf>
    <xf numFmtId="167" fontId="13" fillId="0" borderId="1" xfId="0" applyNumberFormat="1" applyFont="1" applyFill="1" applyBorder="1" applyAlignment="1">
      <alignment horizontal="right" wrapText="1"/>
    </xf>
    <xf numFmtId="167" fontId="13" fillId="0" borderId="8" xfId="0" applyNumberFormat="1" applyFont="1" applyFill="1" applyBorder="1" applyAlignment="1">
      <alignment horizontal="right" wrapText="1"/>
    </xf>
    <xf numFmtId="165" fontId="6" fillId="2" borderId="1" xfId="0" applyNumberFormat="1" applyFont="1" applyFill="1" applyBorder="1"/>
    <xf numFmtId="165" fontId="0" fillId="0" borderId="17" xfId="0" applyNumberFormat="1" applyBorder="1" applyAlignment="1">
      <alignment horizontal="center"/>
    </xf>
    <xf numFmtId="0" fontId="0" fillId="0" borderId="0" xfId="0" applyAlignment="1">
      <alignment wrapText="1"/>
    </xf>
    <xf numFmtId="0" fontId="0" fillId="0" borderId="1" xfId="0" applyBorder="1" applyAlignment="1">
      <alignment horizontal="right" wrapText="1"/>
    </xf>
    <xf numFmtId="6" fontId="6" fillId="2" borderId="1" xfId="0" applyNumberFormat="1" applyFont="1" applyFill="1" applyBorder="1" applyAlignment="1">
      <alignment horizontal="right"/>
    </xf>
    <xf numFmtId="0" fontId="6" fillId="2" borderId="7" xfId="0" applyFont="1" applyFill="1" applyBorder="1" applyAlignment="1">
      <alignment horizontal="right"/>
    </xf>
    <xf numFmtId="6" fontId="6" fillId="2" borderId="7" xfId="0" applyNumberFormat="1" applyFont="1" applyFill="1" applyBorder="1" applyAlignment="1">
      <alignment horizontal="right"/>
    </xf>
    <xf numFmtId="165" fontId="2" fillId="0" borderId="1" xfId="0" applyNumberFormat="1" applyFont="1" applyBorder="1" applyAlignment="1">
      <alignment horizontal="right"/>
    </xf>
    <xf numFmtId="0" fontId="0" fillId="0" borderId="0" xfId="0" applyBorder="1" applyAlignment="1">
      <alignment horizontal="left" indent="2"/>
    </xf>
    <xf numFmtId="165" fontId="2" fillId="0" borderId="0" xfId="0" applyNumberFormat="1" applyFont="1" applyBorder="1" applyAlignment="1">
      <alignment horizontal="right"/>
    </xf>
    <xf numFmtId="165" fontId="2" fillId="0" borderId="0" xfId="0" applyNumberFormat="1" applyFont="1" applyBorder="1" applyAlignment="1">
      <alignment horizontal="center"/>
    </xf>
    <xf numFmtId="0" fontId="0" fillId="0" borderId="12" xfId="0" applyBorder="1"/>
    <xf numFmtId="0" fontId="0" fillId="0" borderId="11" xfId="0" applyBorder="1" applyAlignment="1">
      <alignment wrapText="1"/>
    </xf>
    <xf numFmtId="0" fontId="0" fillId="0" borderId="12" xfId="0" applyBorder="1" applyAlignment="1">
      <alignment horizontal="left" indent="2"/>
    </xf>
    <xf numFmtId="0" fontId="2" fillId="0" borderId="11" xfId="0" applyFont="1" applyBorder="1"/>
    <xf numFmtId="0" fontId="2" fillId="0" borderId="12" xfId="0" applyFont="1" applyBorder="1" applyAlignment="1">
      <alignment horizontal="left" indent="2"/>
    </xf>
    <xf numFmtId="0" fontId="0" fillId="0" borderId="1" xfId="0" applyFont="1" applyFill="1" applyBorder="1"/>
    <xf numFmtId="165" fontId="17" fillId="0" borderId="1" xfId="0" applyNumberFormat="1" applyFont="1" applyFill="1" applyBorder="1"/>
    <xf numFmtId="165" fontId="6" fillId="2" borderId="3" xfId="0" applyNumberFormat="1" applyFont="1" applyFill="1" applyBorder="1"/>
    <xf numFmtId="166" fontId="0" fillId="2" borderId="1" xfId="2" applyNumberFormat="1" applyFont="1" applyFill="1" applyBorder="1" applyAlignment="1">
      <alignment horizontal="right"/>
    </xf>
    <xf numFmtId="1" fontId="0" fillId="2" borderId="1" xfId="2" applyNumberFormat="1" applyFont="1" applyFill="1" applyBorder="1" applyAlignment="1">
      <alignment horizontal="right"/>
    </xf>
    <xf numFmtId="3" fontId="0" fillId="2" borderId="1" xfId="0" applyNumberFormat="1" applyFill="1" applyBorder="1"/>
    <xf numFmtId="165" fontId="0" fillId="0" borderId="1" xfId="0" applyNumberFormat="1" applyFill="1" applyBorder="1"/>
    <xf numFmtId="165" fontId="0" fillId="0" borderId="17" xfId="0" applyNumberFormat="1" applyFont="1" applyBorder="1" applyAlignment="1">
      <alignment horizontal="center"/>
    </xf>
    <xf numFmtId="9" fontId="0" fillId="0" borderId="16" xfId="2" applyFont="1" applyFill="1" applyBorder="1" applyAlignment="1">
      <alignment horizontal="center"/>
    </xf>
    <xf numFmtId="0" fontId="5" fillId="0" borderId="10" xfId="0" applyFont="1" applyBorder="1" applyAlignment="1">
      <alignment vertical="top"/>
    </xf>
    <xf numFmtId="0" fontId="5" fillId="0" borderId="9" xfId="0" applyFont="1" applyBorder="1" applyAlignment="1">
      <alignment vertical="top"/>
    </xf>
    <xf numFmtId="0" fontId="5" fillId="0" borderId="11" xfId="0" applyFont="1" applyBorder="1" applyAlignment="1">
      <alignment vertical="top"/>
    </xf>
    <xf numFmtId="0" fontId="2" fillId="0" borderId="0" xfId="0" applyFont="1" applyBorder="1"/>
    <xf numFmtId="0" fontId="9" fillId="0" borderId="3" xfId="0" applyFont="1" applyFill="1" applyBorder="1" applyAlignment="1">
      <alignment wrapText="1"/>
    </xf>
    <xf numFmtId="0" fontId="9" fillId="0" borderId="4" xfId="0" applyFont="1" applyFill="1" applyBorder="1" applyAlignment="1">
      <alignment wrapText="1"/>
    </xf>
    <xf numFmtId="0" fontId="5" fillId="0" borderId="9" xfId="0" applyFont="1" applyBorder="1" applyAlignment="1">
      <alignment vertical="center"/>
    </xf>
    <xf numFmtId="0" fontId="5" fillId="0" borderId="10" xfId="0" applyFont="1" applyBorder="1" applyAlignment="1"/>
    <xf numFmtId="0" fontId="5" fillId="0" borderId="9" xfId="0" applyFont="1" applyBorder="1" applyAlignment="1"/>
    <xf numFmtId="0" fontId="5" fillId="0" borderId="12" xfId="0" applyFont="1" applyBorder="1" applyAlignment="1">
      <alignment vertical="top"/>
    </xf>
    <xf numFmtId="0" fontId="5" fillId="0" borderId="11" xfId="0" applyFont="1" applyBorder="1" applyAlignment="1">
      <alignment horizontal="left" vertical="top" indent="2"/>
    </xf>
    <xf numFmtId="0" fontId="5" fillId="0" borderId="14" xfId="0" applyFont="1" applyBorder="1" applyAlignment="1">
      <alignment horizontal="left" vertical="center"/>
    </xf>
    <xf numFmtId="6" fontId="9" fillId="0" borderId="1" xfId="0" applyNumberFormat="1" applyFont="1" applyFill="1" applyBorder="1" applyAlignment="1">
      <alignment horizontal="right"/>
    </xf>
    <xf numFmtId="179" fontId="0" fillId="0" borderId="17" xfId="0" applyNumberFormat="1" applyBorder="1" applyAlignment="1">
      <alignment horizontal="center"/>
    </xf>
    <xf numFmtId="9" fontId="2" fillId="0" borderId="16" xfId="2" applyFont="1" applyBorder="1" applyAlignment="1">
      <alignment horizontal="center"/>
    </xf>
    <xf numFmtId="9" fontId="0" fillId="0" borderId="0" xfId="2" applyFont="1" applyBorder="1" applyAlignment="1">
      <alignment horizontal="right"/>
    </xf>
    <xf numFmtId="9" fontId="2" fillId="0" borderId="0" xfId="2" applyFont="1" applyBorder="1" applyAlignment="1">
      <alignment horizontal="center"/>
    </xf>
    <xf numFmtId="165" fontId="2" fillId="0" borderId="15" xfId="0" applyNumberFormat="1" applyFont="1" applyBorder="1" applyAlignment="1">
      <alignment horizontal="center"/>
    </xf>
    <xf numFmtId="165" fontId="2" fillId="0" borderId="17" xfId="0" applyNumberFormat="1" applyFont="1" applyBorder="1" applyAlignment="1">
      <alignment horizontal="center"/>
    </xf>
    <xf numFmtId="0" fontId="2" fillId="0" borderId="14" xfId="0" applyFont="1" applyBorder="1"/>
    <xf numFmtId="0" fontId="0" fillId="0" borderId="6" xfId="0" applyBorder="1"/>
    <xf numFmtId="0" fontId="0" fillId="0" borderId="1" xfId="0" applyBorder="1" applyAlignment="1">
      <alignment horizontal="left" indent="4"/>
    </xf>
    <xf numFmtId="0" fontId="0" fillId="0" borderId="1" xfId="0" applyFont="1" applyBorder="1" applyAlignment="1">
      <alignment horizontal="left" indent="4"/>
    </xf>
    <xf numFmtId="181" fontId="0" fillId="2" borderId="1" xfId="0" applyNumberFormat="1" applyFill="1" applyBorder="1"/>
    <xf numFmtId="3" fontId="0" fillId="0" borderId="1" xfId="0" applyNumberFormat="1" applyFill="1" applyBorder="1"/>
    <xf numFmtId="6" fontId="0" fillId="2" borderId="1" xfId="0" applyNumberFormat="1" applyFill="1" applyBorder="1"/>
    <xf numFmtId="8" fontId="6" fillId="2" borderId="1" xfId="0" applyNumberFormat="1" applyFont="1" applyFill="1" applyBorder="1" applyAlignment="1">
      <alignment horizontal="right"/>
    </xf>
    <xf numFmtId="182" fontId="19" fillId="0" borderId="17" xfId="0" applyNumberFormat="1" applyFont="1" applyFill="1" applyBorder="1" applyAlignment="1">
      <alignment horizontal="center"/>
    </xf>
    <xf numFmtId="182" fontId="19" fillId="0" borderId="16" xfId="0" applyNumberFormat="1" applyFont="1" applyFill="1" applyBorder="1" applyAlignment="1">
      <alignment horizontal="center"/>
    </xf>
    <xf numFmtId="175" fontId="0" fillId="0" borderId="17" xfId="0" applyNumberFormat="1" applyFont="1" applyFill="1" applyBorder="1" applyAlignment="1">
      <alignment horizontal="center"/>
    </xf>
    <xf numFmtId="182" fontId="19" fillId="0" borderId="15" xfId="0" applyNumberFormat="1" applyFont="1" applyFill="1" applyBorder="1" applyAlignment="1">
      <alignment horizontal="center"/>
    </xf>
    <xf numFmtId="9" fontId="0" fillId="2" borderId="1" xfId="0" applyNumberFormat="1" applyFill="1" applyBorder="1"/>
    <xf numFmtId="9" fontId="0" fillId="0" borderId="0" xfId="2" applyFont="1" applyBorder="1"/>
    <xf numFmtId="1" fontId="0" fillId="2" borderId="1" xfId="0" applyNumberFormat="1" applyFill="1" applyBorder="1"/>
    <xf numFmtId="1" fontId="0" fillId="0" borderId="1" xfId="0" applyNumberFormat="1" applyFill="1" applyBorder="1"/>
    <xf numFmtId="167" fontId="9" fillId="0" borderId="6" xfId="0" applyNumberFormat="1" applyFont="1" applyFill="1" applyBorder="1" applyAlignment="1">
      <alignment horizontal="right" wrapText="1"/>
    </xf>
    <xf numFmtId="10" fontId="0" fillId="2" borderId="1" xfId="0" applyNumberFormat="1" applyFill="1" applyBorder="1"/>
    <xf numFmtId="167" fontId="13" fillId="0" borderId="10" xfId="0" applyNumberFormat="1" applyFont="1" applyFill="1" applyBorder="1" applyAlignment="1">
      <alignment horizontal="right" wrapText="1"/>
    </xf>
    <xf numFmtId="167" fontId="13" fillId="0" borderId="22" xfId="0" applyNumberFormat="1" applyFont="1" applyFill="1" applyBorder="1" applyAlignment="1">
      <alignment horizontal="center" wrapText="1"/>
    </xf>
    <xf numFmtId="0" fontId="0" fillId="0" borderId="4" xfId="0" applyBorder="1"/>
    <xf numFmtId="0" fontId="0" fillId="0" borderId="10" xfId="0" applyBorder="1"/>
    <xf numFmtId="0" fontId="0" fillId="0" borderId="5" xfId="0" applyBorder="1" applyAlignment="1">
      <alignment wrapText="1"/>
    </xf>
    <xf numFmtId="0" fontId="0" fillId="0" borderId="14" xfId="0" applyBorder="1" applyAlignment="1">
      <alignment horizontal="left"/>
    </xf>
    <xf numFmtId="0" fontId="0" fillId="0" borderId="1" xfId="0" applyFont="1" applyFill="1" applyBorder="1" applyAlignment="1">
      <alignment horizontal="left"/>
    </xf>
    <xf numFmtId="0" fontId="0" fillId="0" borderId="5" xfId="0" applyBorder="1"/>
    <xf numFmtId="0" fontId="0" fillId="0" borderId="8" xfId="0" applyBorder="1" applyAlignment="1">
      <alignment horizontal="left" indent="2"/>
    </xf>
    <xf numFmtId="0" fontId="0" fillId="0" borderId="7" xfId="0" applyBorder="1" applyAlignment="1">
      <alignment horizontal="left"/>
    </xf>
    <xf numFmtId="0" fontId="0" fillId="0" borderId="6" xfId="0" applyBorder="1" applyAlignment="1">
      <alignment horizontal="left"/>
    </xf>
    <xf numFmtId="0" fontId="0" fillId="0" borderId="4" xfId="0" applyBorder="1" applyAlignment="1">
      <alignment wrapText="1"/>
    </xf>
    <xf numFmtId="0" fontId="0" fillId="0" borderId="19" xfId="0" applyBorder="1"/>
    <xf numFmtId="0" fontId="2" fillId="0" borderId="6" xfId="0" applyFont="1" applyBorder="1" applyAlignment="1">
      <alignment horizontal="left"/>
    </xf>
    <xf numFmtId="0" fontId="0" fillId="0" borderId="6" xfId="0" applyFont="1" applyBorder="1" applyAlignment="1">
      <alignment horizontal="left"/>
    </xf>
    <xf numFmtId="165" fontId="2" fillId="0" borderId="1" xfId="0" applyNumberFormat="1" applyFont="1" applyFill="1" applyBorder="1"/>
    <xf numFmtId="182" fontId="18" fillId="0" borderId="17" xfId="0" applyNumberFormat="1" applyFont="1" applyFill="1" applyBorder="1" applyAlignment="1">
      <alignment horizontal="center"/>
    </xf>
    <xf numFmtId="182" fontId="18" fillId="0" borderId="16" xfId="0" applyNumberFormat="1" applyFont="1" applyFill="1" applyBorder="1" applyAlignment="1">
      <alignment horizontal="center"/>
    </xf>
    <xf numFmtId="0" fontId="5" fillId="0" borderId="24" xfId="0" applyFont="1" applyBorder="1"/>
    <xf numFmtId="0" fontId="21" fillId="0" borderId="25" xfId="0" applyFont="1" applyBorder="1"/>
    <xf numFmtId="0" fontId="21" fillId="0" borderId="26" xfId="0" applyFont="1" applyBorder="1"/>
    <xf numFmtId="0" fontId="4" fillId="3" borderId="32" xfId="0" applyFont="1" applyFill="1" applyBorder="1" applyAlignment="1"/>
    <xf numFmtId="0" fontId="4" fillId="3" borderId="33" xfId="0" applyFont="1" applyFill="1" applyBorder="1" applyAlignment="1"/>
    <xf numFmtId="0" fontId="5" fillId="0" borderId="0" xfId="0" applyFont="1" applyAlignment="1">
      <alignment horizontal="left" indent="2"/>
    </xf>
    <xf numFmtId="184" fontId="0" fillId="0" borderId="17" xfId="0" applyNumberFormat="1" applyBorder="1" applyAlignment="1">
      <alignment horizontal="center"/>
    </xf>
    <xf numFmtId="165" fontId="0" fillId="0" borderId="0" xfId="0" applyNumberFormat="1" applyBorder="1" applyAlignment="1">
      <alignment horizontal="center"/>
    </xf>
    <xf numFmtId="0" fontId="24" fillId="6" borderId="3" xfId="0" applyFont="1" applyFill="1" applyBorder="1"/>
    <xf numFmtId="0" fontId="4" fillId="6" borderId="8" xfId="0" applyFont="1" applyFill="1" applyBorder="1"/>
    <xf numFmtId="0" fontId="22" fillId="6" borderId="4" xfId="0" applyFont="1" applyFill="1" applyBorder="1"/>
    <xf numFmtId="0" fontId="4" fillId="6" borderId="3" xfId="0" applyFont="1" applyFill="1" applyBorder="1" applyAlignment="1">
      <alignment horizontal="center"/>
    </xf>
    <xf numFmtId="0" fontId="4" fillId="6" borderId="8" xfId="0" applyFont="1" applyFill="1" applyBorder="1" applyAlignment="1">
      <alignment horizontal="center"/>
    </xf>
    <xf numFmtId="0" fontId="4" fillId="6" borderId="4" xfId="0" applyFont="1" applyFill="1" applyBorder="1" applyAlignment="1">
      <alignment horizontal="center"/>
    </xf>
    <xf numFmtId="0" fontId="4" fillId="6" borderId="22" xfId="0" applyFont="1" applyFill="1" applyBorder="1" applyAlignment="1">
      <alignment horizontal="center" wrapText="1"/>
    </xf>
    <xf numFmtId="0" fontId="4" fillId="6" borderId="10" xfId="0" applyFont="1" applyFill="1" applyBorder="1" applyAlignment="1"/>
    <xf numFmtId="0" fontId="4" fillId="6" borderId="20" xfId="0" applyFont="1" applyFill="1" applyBorder="1" applyAlignment="1"/>
    <xf numFmtId="0" fontId="4" fillId="6" borderId="20" xfId="0" applyFont="1" applyFill="1" applyBorder="1" applyAlignment="1">
      <alignment horizontal="center"/>
    </xf>
    <xf numFmtId="0" fontId="4" fillId="6" borderId="9" xfId="0" applyFont="1" applyFill="1" applyBorder="1" applyAlignment="1"/>
    <xf numFmtId="0" fontId="4" fillId="6" borderId="15" xfId="0" applyFont="1" applyFill="1" applyBorder="1" applyAlignment="1">
      <alignment horizontal="center" wrapText="1"/>
    </xf>
    <xf numFmtId="0" fontId="0" fillId="0" borderId="0" xfId="0" applyFill="1"/>
    <xf numFmtId="0" fontId="4" fillId="6" borderId="1" xfId="0" applyFont="1" applyFill="1" applyBorder="1" applyAlignment="1">
      <alignment horizontal="right" vertical="center" wrapText="1"/>
    </xf>
    <xf numFmtId="0" fontId="5" fillId="7" borderId="3" xfId="0" applyFont="1" applyFill="1" applyBorder="1" applyAlignment="1">
      <alignment vertical="top"/>
    </xf>
    <xf numFmtId="0" fontId="5" fillId="7" borderId="4" xfId="0" applyFont="1" applyFill="1" applyBorder="1" applyAlignment="1">
      <alignment vertical="top"/>
    </xf>
    <xf numFmtId="0" fontId="5" fillId="7" borderId="3" xfId="0" applyFont="1" applyFill="1" applyBorder="1"/>
    <xf numFmtId="0" fontId="0" fillId="7" borderId="1" xfId="0" applyFill="1" applyBorder="1"/>
    <xf numFmtId="0" fontId="0" fillId="7" borderId="4" xfId="0" applyFill="1" applyBorder="1"/>
    <xf numFmtId="0" fontId="5" fillId="7" borderId="3" xfId="0" applyFont="1" applyFill="1" applyBorder="1" applyAlignment="1">
      <alignment vertical="center"/>
    </xf>
    <xf numFmtId="0" fontId="5" fillId="7" borderId="4" xfId="0" applyFont="1" applyFill="1" applyBorder="1" applyAlignment="1">
      <alignment vertical="center"/>
    </xf>
    <xf numFmtId="0" fontId="5" fillId="7" borderId="3" xfId="0" applyFont="1" applyFill="1" applyBorder="1" applyAlignment="1"/>
    <xf numFmtId="0" fontId="5" fillId="7" borderId="4" xfId="0" applyFont="1" applyFill="1" applyBorder="1" applyAlignment="1"/>
    <xf numFmtId="0" fontId="5" fillId="7" borderId="3" xfId="0" applyFont="1" applyFill="1" applyBorder="1" applyAlignment="1">
      <alignment horizontal="left"/>
    </xf>
    <xf numFmtId="0" fontId="0" fillId="7" borderId="4" xfId="0" applyFill="1" applyBorder="1" applyAlignment="1">
      <alignment horizontal="left"/>
    </xf>
    <xf numFmtId="0" fontId="0" fillId="7" borderId="4" xfId="0" applyFill="1" applyBorder="1" applyAlignment="1">
      <alignment horizontal="left" indent="2"/>
    </xf>
    <xf numFmtId="0" fontId="22" fillId="6" borderId="8" xfId="0" applyFont="1" applyFill="1" applyBorder="1"/>
    <xf numFmtId="0" fontId="4" fillId="6" borderId="3" xfId="0" applyFont="1" applyFill="1" applyBorder="1" applyAlignment="1">
      <alignment horizontal="right" vertical="center" wrapText="1"/>
    </xf>
    <xf numFmtId="0" fontId="4" fillId="6" borderId="4" xfId="0" applyFont="1" applyFill="1" applyBorder="1" applyAlignment="1">
      <alignment horizontal="right" vertical="center" wrapText="1"/>
    </xf>
    <xf numFmtId="0" fontId="4" fillId="6" borderId="3" xfId="0" applyFont="1" applyFill="1" applyBorder="1" applyAlignment="1"/>
    <xf numFmtId="0" fontId="4" fillId="6" borderId="4" xfId="0" applyFont="1" applyFill="1" applyBorder="1" applyAlignment="1"/>
    <xf numFmtId="0" fontId="4" fillId="6" borderId="13" xfId="0" applyFont="1" applyFill="1" applyBorder="1" applyAlignment="1">
      <alignment horizontal="right" vertical="center" wrapText="1"/>
    </xf>
    <xf numFmtId="0" fontId="4" fillId="6" borderId="19" xfId="0" applyFont="1" applyFill="1" applyBorder="1" applyAlignment="1">
      <alignment vertical="center" wrapText="1"/>
    </xf>
    <xf numFmtId="0" fontId="4" fillId="6" borderId="10" xfId="0" applyFont="1" applyFill="1" applyBorder="1" applyAlignment="1">
      <alignment horizontal="center"/>
    </xf>
    <xf numFmtId="0" fontId="4" fillId="6" borderId="6" xfId="0" applyFont="1" applyFill="1" applyBorder="1" applyAlignment="1">
      <alignment horizontal="right" vertical="center" wrapText="1"/>
    </xf>
    <xf numFmtId="0" fontId="26" fillId="0" borderId="0" xfId="0" applyFont="1" applyFill="1" applyBorder="1"/>
    <xf numFmtId="0" fontId="2" fillId="0" borderId="34" xfId="0" applyFont="1" applyFill="1" applyBorder="1"/>
    <xf numFmtId="0" fontId="23" fillId="0" borderId="34" xfId="0" applyFont="1" applyFill="1" applyBorder="1" applyAlignment="1">
      <alignment horizontal="left" vertical="center" wrapText="1" indent="2"/>
    </xf>
    <xf numFmtId="0" fontId="20" fillId="0" borderId="34" xfId="0" applyFont="1" applyFill="1" applyBorder="1" applyAlignment="1">
      <alignment vertical="center" wrapText="1"/>
    </xf>
    <xf numFmtId="0" fontId="6" fillId="0" borderId="16" xfId="0" applyFont="1" applyFill="1" applyBorder="1" applyAlignment="1">
      <alignment horizontal="center"/>
    </xf>
    <xf numFmtId="0" fontId="27" fillId="4" borderId="0" xfId="0" applyFont="1" applyFill="1"/>
    <xf numFmtId="0" fontId="27" fillId="0" borderId="0" xfId="0" applyFont="1"/>
    <xf numFmtId="0" fontId="28" fillId="0" borderId="0" xfId="0" applyFont="1" applyFill="1" applyBorder="1" applyAlignment="1"/>
    <xf numFmtId="0" fontId="29" fillId="0" borderId="0" xfId="0" applyFont="1" applyFill="1" applyBorder="1" applyAlignment="1">
      <alignment horizontal="right" wrapText="1"/>
    </xf>
    <xf numFmtId="0" fontId="30" fillId="0" borderId="0" xfId="0" applyFont="1" applyFill="1" applyBorder="1" applyAlignment="1">
      <alignment horizontal="right" wrapText="1"/>
    </xf>
    <xf numFmtId="0" fontId="27" fillId="0" borderId="34" xfId="0" applyFont="1" applyFill="1" applyBorder="1"/>
    <xf numFmtId="0" fontId="27" fillId="0" borderId="0" xfId="0" applyFont="1" applyFill="1" applyBorder="1"/>
    <xf numFmtId="0" fontId="27" fillId="0" borderId="0" xfId="0" applyFont="1" applyBorder="1" applyAlignment="1">
      <alignment horizontal="center"/>
    </xf>
    <xf numFmtId="0" fontId="31" fillId="0" borderId="0" xfId="0" applyFont="1" applyFill="1" applyBorder="1" applyAlignment="1">
      <alignment horizontal="center"/>
    </xf>
    <xf numFmtId="0" fontId="32" fillId="0" borderId="0" xfId="0" applyFont="1" applyFill="1" applyBorder="1"/>
    <xf numFmtId="0" fontId="27" fillId="0" borderId="0" xfId="0" applyFont="1" applyAlignment="1">
      <alignment wrapText="1"/>
    </xf>
    <xf numFmtId="0" fontId="32" fillId="0" borderId="0" xfId="0" applyFont="1"/>
    <xf numFmtId="0" fontId="6" fillId="0" borderId="0" xfId="0" applyFont="1" applyFill="1" applyBorder="1" applyAlignment="1">
      <alignment horizontal="center"/>
    </xf>
    <xf numFmtId="0" fontId="4" fillId="6" borderId="2" xfId="0" applyFont="1" applyFill="1" applyBorder="1" applyAlignment="1">
      <alignment horizontal="center" wrapText="1"/>
    </xf>
    <xf numFmtId="0" fontId="6" fillId="0" borderId="15" xfId="0" applyFont="1" applyFill="1" applyBorder="1" applyAlignment="1">
      <alignment horizontal="center"/>
    </xf>
    <xf numFmtId="167" fontId="9" fillId="0" borderId="7" xfId="0" applyNumberFormat="1" applyFont="1" applyFill="1" applyBorder="1" applyAlignment="1">
      <alignment horizontal="right" wrapText="1"/>
    </xf>
    <xf numFmtId="167" fontId="9" fillId="0" borderId="10" xfId="0" applyNumberFormat="1" applyFont="1" applyFill="1" applyBorder="1" applyAlignment="1">
      <alignment horizontal="right" wrapText="1"/>
    </xf>
    <xf numFmtId="164" fontId="0" fillId="0" borderId="0" xfId="1" applyNumberFormat="1" applyFont="1" applyFill="1" applyBorder="1" applyAlignment="1">
      <alignment wrapText="1"/>
    </xf>
    <xf numFmtId="0" fontId="14" fillId="5" borderId="4" xfId="0" applyFont="1" applyFill="1" applyBorder="1"/>
    <xf numFmtId="0" fontId="2" fillId="5" borderId="3" xfId="0" applyFont="1" applyFill="1" applyBorder="1" applyAlignment="1">
      <alignment horizontal="left"/>
    </xf>
    <xf numFmtId="0" fontId="0" fillId="5" borderId="4" xfId="0" applyFill="1" applyBorder="1"/>
    <xf numFmtId="0" fontId="2" fillId="5" borderId="3" xfId="0" applyFont="1" applyFill="1" applyBorder="1" applyAlignment="1"/>
    <xf numFmtId="0" fontId="0" fillId="5" borderId="3" xfId="0" applyFill="1" applyBorder="1" applyAlignment="1">
      <alignment horizontal="left" indent="2"/>
    </xf>
    <xf numFmtId="0" fontId="0" fillId="5" borderId="8" xfId="0" applyFill="1" applyBorder="1" applyAlignment="1">
      <alignment horizontal="left" indent="2"/>
    </xf>
    <xf numFmtId="0" fontId="2" fillId="5" borderId="8" xfId="0" applyFont="1" applyFill="1" applyBorder="1" applyAlignment="1">
      <alignment horizontal="left"/>
    </xf>
    <xf numFmtId="0" fontId="2" fillId="5" borderId="8" xfId="0" applyFont="1" applyFill="1" applyBorder="1" applyAlignment="1"/>
    <xf numFmtId="0" fontId="0" fillId="5" borderId="8" xfId="0" applyFill="1" applyBorder="1" applyAlignment="1">
      <alignment horizontal="left"/>
    </xf>
    <xf numFmtId="0" fontId="4" fillId="6" borderId="15" xfId="0" applyFont="1" applyFill="1" applyBorder="1" applyAlignment="1">
      <alignment horizontal="center" wrapText="1"/>
    </xf>
    <xf numFmtId="165" fontId="0" fillId="2" borderId="1" xfId="0" applyNumberFormat="1" applyFill="1" applyBorder="1" applyAlignment="1">
      <alignment horizontal="center"/>
    </xf>
    <xf numFmtId="0" fontId="2" fillId="0" borderId="0" xfId="0" applyFont="1" applyAlignment="1">
      <alignment horizontal="right"/>
    </xf>
    <xf numFmtId="0" fontId="0" fillId="2" borderId="3" xfId="0" applyFill="1" applyBorder="1"/>
    <xf numFmtId="0" fontId="9" fillId="6" borderId="3" xfId="0" applyFont="1" applyFill="1" applyBorder="1"/>
    <xf numFmtId="0" fontId="9" fillId="6" borderId="8" xfId="0" applyFont="1" applyFill="1" applyBorder="1" applyAlignment="1">
      <alignment horizontal="center"/>
    </xf>
    <xf numFmtId="0" fontId="9" fillId="6" borderId="8" xfId="0" applyFont="1" applyFill="1" applyBorder="1" applyAlignment="1"/>
    <xf numFmtId="0" fontId="0" fillId="6" borderId="8" xfId="0" applyFill="1" applyBorder="1"/>
    <xf numFmtId="0" fontId="34" fillId="0" borderId="0" xfId="0" applyFont="1" applyAlignment="1">
      <alignment horizontal="center"/>
    </xf>
    <xf numFmtId="0" fontId="33" fillId="0" borderId="6" xfId="0" applyFont="1" applyFill="1" applyBorder="1" applyAlignment="1">
      <alignment horizontal="right" wrapText="1"/>
    </xf>
    <xf numFmtId="0" fontId="19" fillId="0" borderId="5" xfId="0" applyFont="1" applyBorder="1" applyAlignment="1">
      <alignment horizontal="right" wrapText="1"/>
    </xf>
    <xf numFmtId="0" fontId="0" fillId="6" borderId="4" xfId="0" applyFill="1" applyBorder="1"/>
    <xf numFmtId="0" fontId="0" fillId="2" borderId="6" xfId="0" applyFill="1" applyBorder="1"/>
    <xf numFmtId="0" fontId="19" fillId="0" borderId="1" xfId="0" applyFont="1" applyBorder="1" applyAlignment="1">
      <alignment horizontal="right" wrapText="1"/>
    </xf>
    <xf numFmtId="0" fontId="19" fillId="0" borderId="1" xfId="0" applyFont="1" applyFill="1" applyBorder="1" applyAlignment="1">
      <alignment horizontal="right" wrapText="1"/>
    </xf>
    <xf numFmtId="0" fontId="4" fillId="6" borderId="1" xfId="0" applyFont="1" applyFill="1" applyBorder="1" applyAlignment="1">
      <alignment horizontal="center"/>
    </xf>
    <xf numFmtId="0" fontId="0" fillId="2" borderId="0" xfId="0" applyFill="1"/>
    <xf numFmtId="0" fontId="4" fillId="6" borderId="15" xfId="0" applyFont="1" applyFill="1" applyBorder="1" applyAlignment="1">
      <alignment horizontal="center" wrapText="1"/>
    </xf>
    <xf numFmtId="164" fontId="2" fillId="0" borderId="1" xfId="1" applyNumberFormat="1" applyFont="1" applyBorder="1" applyAlignment="1">
      <alignment wrapText="1"/>
    </xf>
    <xf numFmtId="0" fontId="2" fillId="0" borderId="17" xfId="0" applyFont="1" applyBorder="1" applyAlignment="1">
      <alignment horizontal="center"/>
    </xf>
    <xf numFmtId="0" fontId="0" fillId="0" borderId="1" xfId="0" applyFont="1" applyBorder="1" applyAlignment="1">
      <alignment horizontal="left" indent="1"/>
    </xf>
    <xf numFmtId="185" fontId="0" fillId="0" borderId="1" xfId="1" applyNumberFormat="1" applyFont="1" applyBorder="1" applyAlignment="1">
      <alignment wrapText="1"/>
    </xf>
    <xf numFmtId="0" fontId="2" fillId="0" borderId="16" xfId="0" applyFont="1" applyBorder="1" applyAlignment="1">
      <alignment horizontal="center"/>
    </xf>
    <xf numFmtId="0" fontId="2" fillId="0" borderId="0" xfId="0" applyFont="1" applyBorder="1" applyAlignment="1">
      <alignment horizontal="left"/>
    </xf>
    <xf numFmtId="164" fontId="2" fillId="0" borderId="0" xfId="1" applyNumberFormat="1" applyFont="1" applyBorder="1" applyAlignment="1">
      <alignment wrapText="1"/>
    </xf>
    <xf numFmtId="0" fontId="2" fillId="0" borderId="0" xfId="0" applyFont="1" applyBorder="1" applyAlignment="1">
      <alignment horizontal="center"/>
    </xf>
    <xf numFmtId="0" fontId="0" fillId="0" borderId="0" xfId="0" applyFont="1" applyBorder="1" applyAlignment="1">
      <alignment horizontal="left" indent="1"/>
    </xf>
    <xf numFmtId="164" fontId="0" fillId="0" borderId="0" xfId="1" applyNumberFormat="1" applyFont="1" applyBorder="1" applyAlignment="1">
      <alignment wrapText="1"/>
    </xf>
    <xf numFmtId="174" fontId="19" fillId="0" borderId="17" xfId="0" applyNumberFormat="1" applyFont="1" applyBorder="1" applyAlignment="1">
      <alignment horizontal="center"/>
    </xf>
    <xf numFmtId="174" fontId="19" fillId="0" borderId="16" xfId="0" applyNumberFormat="1" applyFont="1" applyBorder="1" applyAlignment="1">
      <alignment horizontal="center"/>
    </xf>
    <xf numFmtId="165" fontId="0" fillId="0" borderId="1" xfId="0" applyNumberFormat="1" applyBorder="1"/>
    <xf numFmtId="6" fontId="18" fillId="0" borderId="1" xfId="0" applyNumberFormat="1" applyFont="1" applyBorder="1"/>
    <xf numFmtId="0" fontId="0" fillId="0" borderId="4" xfId="0" applyBorder="1" applyAlignment="1">
      <alignment horizontal="left"/>
    </xf>
    <xf numFmtId="0" fontId="0" fillId="0" borderId="4" xfId="0" applyBorder="1" applyAlignment="1">
      <alignment horizontal="left" indent="2"/>
    </xf>
    <xf numFmtId="9" fontId="0" fillId="0" borderId="23" xfId="2" applyFont="1" applyFill="1" applyBorder="1" applyAlignment="1">
      <alignment horizontal="center"/>
    </xf>
    <xf numFmtId="182" fontId="19" fillId="0" borderId="0" xfId="0" applyNumberFormat="1" applyFont="1" applyFill="1" applyBorder="1" applyAlignment="1">
      <alignment horizontal="center"/>
    </xf>
    <xf numFmtId="0" fontId="5" fillId="0" borderId="11" xfId="0" applyFont="1" applyBorder="1" applyAlignment="1">
      <alignment vertical="center"/>
    </xf>
    <xf numFmtId="8" fontId="6" fillId="0" borderId="1" xfId="0" applyNumberFormat="1" applyFont="1" applyFill="1" applyBorder="1" applyAlignment="1">
      <alignment horizontal="right"/>
    </xf>
    <xf numFmtId="6" fontId="19" fillId="2" borderId="7" xfId="2" applyNumberFormat="1" applyFont="1" applyFill="1" applyBorder="1"/>
    <xf numFmtId="0" fontId="4" fillId="6" borderId="15" xfId="0" applyFont="1" applyFill="1" applyBorder="1" applyAlignment="1">
      <alignment horizontal="center" wrapText="1"/>
    </xf>
    <xf numFmtId="186" fontId="0" fillId="0" borderId="16" xfId="0" applyNumberFormat="1" applyBorder="1" applyAlignment="1">
      <alignment horizontal="center"/>
    </xf>
    <xf numFmtId="164" fontId="1" fillId="0" borderId="1" xfId="1" applyNumberFormat="1" applyFont="1" applyBorder="1" applyAlignment="1">
      <alignment wrapText="1"/>
    </xf>
    <xf numFmtId="9" fontId="0" fillId="2" borderId="1" xfId="2" applyNumberFormat="1" applyFont="1" applyFill="1" applyBorder="1"/>
    <xf numFmtId="165" fontId="2" fillId="0" borderId="2" xfId="0" applyNumberFormat="1" applyFont="1" applyBorder="1" applyAlignment="1">
      <alignment horizontal="center"/>
    </xf>
    <xf numFmtId="0" fontId="0" fillId="0" borderId="17" xfId="0" applyFont="1" applyFill="1" applyBorder="1" applyAlignment="1">
      <alignment horizontal="center"/>
    </xf>
    <xf numFmtId="167" fontId="13" fillId="0" borderId="15" xfId="0" applyNumberFormat="1" applyFont="1" applyFill="1" applyBorder="1" applyAlignment="1">
      <alignment horizontal="center" wrapText="1"/>
    </xf>
    <xf numFmtId="9" fontId="16" fillId="0" borderId="17" xfId="2" applyFont="1" applyFill="1" applyBorder="1" applyAlignment="1">
      <alignment horizontal="center" wrapText="1"/>
    </xf>
    <xf numFmtId="0" fontId="2" fillId="0" borderId="1" xfId="0" applyFont="1" applyBorder="1" applyAlignment="1">
      <alignment horizontal="left" indent="1"/>
    </xf>
    <xf numFmtId="0" fontId="0" fillId="0" borderId="17" xfId="0" applyFont="1" applyBorder="1" applyAlignment="1">
      <alignment horizontal="center"/>
    </xf>
    <xf numFmtId="9" fontId="13" fillId="0" borderId="1" xfId="2" applyFont="1" applyFill="1" applyBorder="1" applyAlignment="1">
      <alignment horizontal="right" wrapText="1"/>
    </xf>
    <xf numFmtId="9" fontId="13" fillId="0" borderId="3" xfId="2" applyFont="1" applyFill="1" applyBorder="1" applyAlignment="1">
      <alignment horizontal="right" wrapText="1"/>
    </xf>
    <xf numFmtId="1" fontId="0" fillId="0" borderId="17" xfId="0" applyNumberFormat="1" applyBorder="1" applyAlignment="1">
      <alignment horizontal="center"/>
    </xf>
    <xf numFmtId="183" fontId="0" fillId="0" borderId="17" xfId="0" applyNumberFormat="1" applyBorder="1" applyAlignment="1">
      <alignment horizontal="center"/>
    </xf>
    <xf numFmtId="187" fontId="0" fillId="0" borderId="15" xfId="0" applyNumberFormat="1" applyBorder="1" applyAlignment="1">
      <alignment horizontal="center"/>
    </xf>
    <xf numFmtId="188" fontId="0" fillId="0" borderId="17" xfId="0" applyNumberFormat="1" applyBorder="1" applyAlignment="1">
      <alignment horizontal="center"/>
    </xf>
    <xf numFmtId="189" fontId="19" fillId="0" borderId="17" xfId="0" applyNumberFormat="1" applyFont="1" applyBorder="1" applyAlignment="1">
      <alignment horizontal="center"/>
    </xf>
    <xf numFmtId="190" fontId="0" fillId="0" borderId="16" xfId="0" applyNumberFormat="1" applyBorder="1" applyAlignment="1">
      <alignment horizontal="center"/>
    </xf>
    <xf numFmtId="191" fontId="18" fillId="0" borderId="17" xfId="0" applyNumberFormat="1" applyFont="1" applyBorder="1" applyAlignment="1">
      <alignment horizontal="center"/>
    </xf>
    <xf numFmtId="183" fontId="0" fillId="0" borderId="16" xfId="0" applyNumberFormat="1" applyBorder="1" applyAlignment="1">
      <alignment horizontal="center"/>
    </xf>
    <xf numFmtId="0" fontId="0" fillId="0" borderId="0" xfId="0" applyFont="1"/>
    <xf numFmtId="164" fontId="0" fillId="0" borderId="3" xfId="1" applyNumberFormat="1" applyFont="1" applyBorder="1" applyAlignment="1">
      <alignment wrapText="1"/>
    </xf>
    <xf numFmtId="164" fontId="2" fillId="0" borderId="3" xfId="1" applyNumberFormat="1" applyFont="1" applyBorder="1" applyAlignment="1">
      <alignment wrapText="1"/>
    </xf>
    <xf numFmtId="164" fontId="0" fillId="0" borderId="11" xfId="1" applyNumberFormat="1" applyFont="1" applyFill="1" applyBorder="1" applyAlignment="1">
      <alignment wrapText="1"/>
    </xf>
    <xf numFmtId="164" fontId="1" fillId="0" borderId="3" xfId="1" applyNumberFormat="1" applyFont="1" applyBorder="1" applyAlignment="1">
      <alignment wrapText="1"/>
    </xf>
    <xf numFmtId="167" fontId="0" fillId="0" borderId="1" xfId="0" applyNumberFormat="1" applyFont="1" applyBorder="1" applyAlignment="1">
      <alignment horizontal="left" indent="2"/>
    </xf>
    <xf numFmtId="164" fontId="2" fillId="0" borderId="1" xfId="0" applyNumberFormat="1" applyFont="1" applyBorder="1"/>
    <xf numFmtId="164" fontId="0" fillId="0" borderId="1" xfId="0" applyNumberFormat="1" applyFont="1" applyBorder="1"/>
    <xf numFmtId="9" fontId="2" fillId="0" borderId="1" xfId="2" applyFont="1" applyBorder="1"/>
    <xf numFmtId="167" fontId="13" fillId="0" borderId="3" xfId="0" applyNumberFormat="1" applyFont="1" applyFill="1" applyBorder="1" applyAlignment="1">
      <alignment horizontal="right" wrapText="1"/>
    </xf>
    <xf numFmtId="0" fontId="0" fillId="0" borderId="16" xfId="0" applyFont="1" applyBorder="1" applyAlignment="1">
      <alignment horizontal="center"/>
    </xf>
    <xf numFmtId="167" fontId="2" fillId="0" borderId="1" xfId="0" applyNumberFormat="1" applyFont="1" applyBorder="1" applyAlignment="1">
      <alignment horizontal="left" indent="1"/>
    </xf>
    <xf numFmtId="164" fontId="2" fillId="0" borderId="3" xfId="0" applyNumberFormat="1" applyFont="1" applyBorder="1"/>
    <xf numFmtId="9" fontId="0" fillId="0" borderId="1" xfId="2" applyFont="1" applyBorder="1"/>
    <xf numFmtId="0" fontId="2" fillId="0" borderId="15" xfId="0" applyFont="1" applyBorder="1" applyAlignment="1">
      <alignment horizontal="center"/>
    </xf>
    <xf numFmtId="164" fontId="2" fillId="0" borderId="9" xfId="1" applyNumberFormat="1" applyFont="1" applyBorder="1" applyAlignment="1">
      <alignment wrapText="1"/>
    </xf>
    <xf numFmtId="9" fontId="2" fillId="0" borderId="1" xfId="0" applyNumberFormat="1" applyFont="1" applyBorder="1"/>
    <xf numFmtId="0" fontId="0" fillId="0" borderId="14" xfId="0" applyFont="1" applyFill="1" applyBorder="1"/>
    <xf numFmtId="9" fontId="1" fillId="0" borderId="17" xfId="2" applyFont="1" applyBorder="1" applyAlignment="1">
      <alignment horizontal="center"/>
    </xf>
    <xf numFmtId="6" fontId="2" fillId="0" borderId="9" xfId="0" applyNumberFormat="1" applyFont="1" applyBorder="1"/>
    <xf numFmtId="0" fontId="2" fillId="0" borderId="9" xfId="0" applyFont="1" applyBorder="1"/>
    <xf numFmtId="0" fontId="2" fillId="0" borderId="5" xfId="0" applyFont="1" applyBorder="1"/>
    <xf numFmtId="173" fontId="2" fillId="0" borderId="15" xfId="0" applyNumberFormat="1" applyFont="1" applyFill="1" applyBorder="1" applyAlignment="1">
      <alignment horizontal="center"/>
    </xf>
    <xf numFmtId="173" fontId="2" fillId="0" borderId="17" xfId="0" applyNumberFormat="1" applyFont="1" applyFill="1" applyBorder="1" applyAlignment="1">
      <alignment horizontal="center"/>
    </xf>
    <xf numFmtId="177" fontId="2" fillId="0" borderId="15" xfId="0" applyNumberFormat="1" applyFont="1" applyFill="1" applyBorder="1" applyAlignment="1">
      <alignment horizontal="center"/>
    </xf>
    <xf numFmtId="177" fontId="2" fillId="0" borderId="17" xfId="0" applyNumberFormat="1" applyFont="1" applyFill="1" applyBorder="1" applyAlignment="1">
      <alignment horizontal="center"/>
    </xf>
    <xf numFmtId="164" fontId="1" fillId="0" borderId="1" xfId="1" applyNumberFormat="1" applyFont="1" applyFill="1" applyBorder="1" applyAlignment="1">
      <alignment wrapText="1"/>
    </xf>
    <xf numFmtId="9" fontId="0" fillId="0" borderId="3" xfId="2" applyFont="1" applyBorder="1"/>
    <xf numFmtId="166" fontId="2" fillId="0" borderId="2" xfId="2" applyNumberFormat="1" applyFont="1" applyBorder="1"/>
    <xf numFmtId="0" fontId="9" fillId="0" borderId="0" xfId="0" applyFont="1" applyFill="1" applyBorder="1" applyAlignment="1">
      <alignment horizontal="right" wrapText="1"/>
    </xf>
    <xf numFmtId="167" fontId="9" fillId="0" borderId="22" xfId="0" applyNumberFormat="1" applyFont="1" applyFill="1" applyBorder="1" applyAlignment="1">
      <alignment horizontal="center" wrapText="1"/>
    </xf>
    <xf numFmtId="0" fontId="0" fillId="0" borderId="0" xfId="0" applyAlignment="1">
      <alignment horizontal="left" indent="2"/>
    </xf>
    <xf numFmtId="166" fontId="1" fillId="0" borderId="1" xfId="2" applyNumberFormat="1" applyFont="1" applyBorder="1"/>
    <xf numFmtId="0" fontId="2" fillId="0" borderId="0" xfId="0" applyFont="1" applyAlignment="1">
      <alignment horizontal="left" indent="1"/>
    </xf>
    <xf numFmtId="165" fontId="35" fillId="0" borderId="1" xfId="0" applyNumberFormat="1" applyFont="1" applyFill="1" applyBorder="1"/>
    <xf numFmtId="6" fontId="18" fillId="0" borderId="1" xfId="0" applyNumberFormat="1" applyFont="1" applyBorder="1" applyAlignment="1">
      <alignment horizontal="right"/>
    </xf>
    <xf numFmtId="192" fontId="2" fillId="0" borderId="2" xfId="0" applyNumberFormat="1" applyFont="1" applyBorder="1" applyAlignment="1">
      <alignment horizontal="center"/>
    </xf>
    <xf numFmtId="164" fontId="1" fillId="0" borderId="3" xfId="1" applyNumberFormat="1" applyFont="1" applyFill="1" applyBorder="1" applyAlignment="1">
      <alignment wrapText="1"/>
    </xf>
    <xf numFmtId="9" fontId="2" fillId="0" borderId="3" xfId="2" applyFont="1" applyBorder="1"/>
    <xf numFmtId="0" fontId="0" fillId="0" borderId="12" xfId="0" applyFont="1" applyFill="1" applyBorder="1"/>
    <xf numFmtId="0" fontId="2" fillId="0" borderId="1" xfId="0" applyFont="1" applyFill="1" applyBorder="1" applyAlignment="1">
      <alignment horizontal="left" indent="1"/>
    </xf>
    <xf numFmtId="0" fontId="2" fillId="0" borderId="1" xfId="0" applyFont="1" applyFill="1" applyBorder="1" applyAlignment="1">
      <alignment horizontal="left"/>
    </xf>
    <xf numFmtId="0" fontId="2" fillId="0" borderId="3" xfId="0" applyFont="1" applyBorder="1" applyAlignment="1">
      <alignment horizontal="right"/>
    </xf>
    <xf numFmtId="174" fontId="2" fillId="0" borderId="17" xfId="0" applyNumberFormat="1" applyFont="1" applyBorder="1" applyAlignment="1">
      <alignment horizontal="center"/>
    </xf>
    <xf numFmtId="0" fontId="2" fillId="0" borderId="0" xfId="0" applyFont="1" applyAlignment="1">
      <alignment horizontal="left"/>
    </xf>
    <xf numFmtId="9" fontId="0" fillId="0" borderId="3" xfId="2" applyFont="1" applyFill="1" applyBorder="1" applyAlignment="1">
      <alignment horizontal="right"/>
    </xf>
    <xf numFmtId="165" fontId="36" fillId="0" borderId="1" xfId="0" applyNumberFormat="1" applyFont="1" applyBorder="1" applyAlignment="1">
      <alignment horizontal="right"/>
    </xf>
    <xf numFmtId="0" fontId="2" fillId="0" borderId="1" xfId="0" applyFont="1" applyBorder="1" applyAlignment="1">
      <alignment horizontal="right"/>
    </xf>
    <xf numFmtId="165" fontId="17" fillId="0" borderId="3" xfId="0" applyNumberFormat="1" applyFont="1" applyFill="1" applyBorder="1"/>
    <xf numFmtId="165" fontId="35" fillId="0" borderId="3" xfId="0" applyNumberFormat="1" applyFont="1" applyFill="1" applyBorder="1"/>
    <xf numFmtId="165" fontId="0" fillId="0" borderId="17" xfId="0" applyNumberFormat="1" applyFont="1" applyBorder="1"/>
    <xf numFmtId="165" fontId="2" fillId="0" borderId="17" xfId="0" applyNumberFormat="1" applyFont="1" applyBorder="1"/>
    <xf numFmtId="165" fontId="2" fillId="0" borderId="16" xfId="0" applyNumberFormat="1" applyFont="1" applyBorder="1"/>
    <xf numFmtId="165" fontId="37" fillId="5" borderId="1" xfId="0" applyNumberFormat="1" applyFont="1" applyFill="1" applyBorder="1"/>
    <xf numFmtId="165" fontId="2" fillId="5" borderId="17" xfId="0" applyNumberFormat="1" applyFont="1" applyFill="1" applyBorder="1" applyAlignment="1">
      <alignment horizontal="center" vertical="center" wrapText="1"/>
    </xf>
    <xf numFmtId="0" fontId="7" fillId="0" borderId="0" xfId="0" applyFont="1" applyAlignment="1">
      <alignment horizontal="left" indent="2"/>
    </xf>
    <xf numFmtId="0" fontId="38" fillId="0" borderId="0" xfId="0" applyFont="1" applyAlignment="1">
      <alignment horizontal="left" indent="1"/>
    </xf>
    <xf numFmtId="193" fontId="0" fillId="0" borderId="0" xfId="0" applyNumberFormat="1"/>
    <xf numFmtId="165" fontId="18" fillId="0" borderId="1" xfId="0" applyNumberFormat="1" applyFont="1" applyBorder="1"/>
    <xf numFmtId="9" fontId="0" fillId="0" borderId="1" xfId="2" applyNumberFormat="1" applyFont="1" applyBorder="1" applyAlignment="1">
      <alignment horizontal="right"/>
    </xf>
    <xf numFmtId="165" fontId="18" fillId="0" borderId="1" xfId="0" applyNumberFormat="1" applyFont="1" applyBorder="1" applyAlignment="1">
      <alignment horizontal="right"/>
    </xf>
    <xf numFmtId="165" fontId="18" fillId="0" borderId="3" xfId="0" applyNumberFormat="1" applyFont="1" applyBorder="1" applyAlignment="1">
      <alignment horizontal="right"/>
    </xf>
    <xf numFmtId="165" fontId="19" fillId="2" borderId="1" xfId="0" applyNumberFormat="1" applyFont="1" applyFill="1" applyBorder="1"/>
    <xf numFmtId="165" fontId="19" fillId="2" borderId="3" xfId="0" applyNumberFormat="1" applyFont="1" applyFill="1" applyBorder="1"/>
    <xf numFmtId="9" fontId="9" fillId="0" borderId="16" xfId="2" applyFont="1" applyBorder="1" applyAlignment="1">
      <alignment horizontal="center"/>
    </xf>
    <xf numFmtId="166" fontId="1" fillId="0" borderId="0" xfId="2" applyNumberFormat="1" applyFont="1" applyBorder="1"/>
    <xf numFmtId="166" fontId="2" fillId="0" borderId="0" xfId="2" applyNumberFormat="1" applyFont="1" applyBorder="1"/>
    <xf numFmtId="0" fontId="0" fillId="0" borderId="0" xfId="0" applyFont="1" applyAlignment="1">
      <alignment horizontal="left" indent="1"/>
    </xf>
    <xf numFmtId="0" fontId="0" fillId="0" borderId="0" xfId="0" applyFont="1" applyAlignment="1">
      <alignment horizontal="left" indent="2"/>
    </xf>
    <xf numFmtId="37" fontId="0" fillId="0" borderId="17" xfId="1" applyNumberFormat="1" applyFont="1" applyBorder="1" applyAlignment="1">
      <alignment horizontal="center" wrapText="1"/>
    </xf>
    <xf numFmtId="37" fontId="2" fillId="0" borderId="17" xfId="1" applyNumberFormat="1" applyFont="1" applyBorder="1" applyAlignment="1">
      <alignment horizontal="center" wrapText="1"/>
    </xf>
    <xf numFmtId="176" fontId="9" fillId="0" borderId="35" xfId="0" applyNumberFormat="1" applyFont="1" applyFill="1" applyBorder="1" applyAlignment="1">
      <alignment horizontal="center" wrapText="1"/>
    </xf>
    <xf numFmtId="194" fontId="2" fillId="0" borderId="15" xfId="0" applyNumberFormat="1" applyFont="1" applyBorder="1" applyAlignment="1">
      <alignment horizontal="center"/>
    </xf>
    <xf numFmtId="194" fontId="0" fillId="0" borderId="17" xfId="0" applyNumberFormat="1" applyFont="1" applyBorder="1" applyAlignment="1">
      <alignment horizontal="center"/>
    </xf>
    <xf numFmtId="195" fontId="37" fillId="0" borderId="17" xfId="0" applyNumberFormat="1" applyFont="1" applyBorder="1" applyAlignment="1">
      <alignment horizontal="center"/>
    </xf>
    <xf numFmtId="196" fontId="37" fillId="0" borderId="17" xfId="0" applyNumberFormat="1" applyFont="1" applyBorder="1" applyAlignment="1">
      <alignment horizontal="center"/>
    </xf>
    <xf numFmtId="196" fontId="37" fillId="0" borderId="16" xfId="0" applyNumberFormat="1" applyFont="1" applyBorder="1" applyAlignment="1">
      <alignment horizontal="center"/>
    </xf>
    <xf numFmtId="196" fontId="37" fillId="0" borderId="2" xfId="0" applyNumberFormat="1" applyFont="1" applyBorder="1" applyAlignment="1">
      <alignment horizontal="center"/>
    </xf>
    <xf numFmtId="197" fontId="0" fillId="0" borderId="17" xfId="0" applyNumberFormat="1" applyBorder="1" applyAlignment="1">
      <alignment horizontal="center"/>
    </xf>
    <xf numFmtId="198" fontId="6" fillId="0" borderId="17" xfId="0" applyNumberFormat="1" applyFont="1" applyFill="1" applyBorder="1" applyAlignment="1">
      <alignment horizontal="center"/>
    </xf>
    <xf numFmtId="198" fontId="9" fillId="0" borderId="16" xfId="0" applyNumberFormat="1" applyFont="1" applyFill="1" applyBorder="1" applyAlignment="1">
      <alignment horizontal="center"/>
    </xf>
    <xf numFmtId="199" fontId="6" fillId="0" borderId="17" xfId="0" applyNumberFormat="1" applyFont="1" applyFill="1" applyBorder="1" applyAlignment="1">
      <alignment horizontal="center"/>
    </xf>
    <xf numFmtId="0" fontId="0" fillId="0" borderId="27" xfId="0" applyBorder="1" applyAlignment="1">
      <alignment horizontal="left" indent="1"/>
    </xf>
    <xf numFmtId="0" fontId="0" fillId="0" borderId="29" xfId="0" applyBorder="1" applyAlignment="1">
      <alignment horizontal="left" indent="1"/>
    </xf>
    <xf numFmtId="0" fontId="4" fillId="3" borderId="36" xfId="0" applyFont="1" applyFill="1" applyBorder="1" applyAlignment="1"/>
    <xf numFmtId="0" fontId="0" fillId="0" borderId="37" xfId="0" applyBorder="1" applyAlignment="1">
      <alignment horizontal="left" indent="1"/>
    </xf>
    <xf numFmtId="0" fontId="0" fillId="0" borderId="38" xfId="0" applyBorder="1" applyAlignment="1">
      <alignment horizontal="left" indent="1"/>
    </xf>
    <xf numFmtId="0" fontId="0" fillId="0" borderId="39" xfId="0" applyBorder="1" applyAlignment="1">
      <alignment horizontal="left" indent="1"/>
    </xf>
    <xf numFmtId="0" fontId="0" fillId="0" borderId="41"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165" fontId="0" fillId="0" borderId="6" xfId="0" applyNumberFormat="1" applyBorder="1" applyAlignment="1">
      <alignment horizontal="center"/>
    </xf>
    <xf numFmtId="165" fontId="0" fillId="0" borderId="40" xfId="0" applyNumberFormat="1" applyBorder="1" applyAlignment="1">
      <alignment horizontal="center"/>
    </xf>
    <xf numFmtId="165" fontId="0" fillId="0" borderId="25" xfId="0" applyNumberFormat="1" applyBorder="1" applyAlignment="1">
      <alignment horizontal="center"/>
    </xf>
    <xf numFmtId="165" fontId="0" fillId="0" borderId="26" xfId="0" applyNumberFormat="1" applyBorder="1" applyAlignment="1">
      <alignment horizontal="center"/>
    </xf>
    <xf numFmtId="165" fontId="0" fillId="0" borderId="44" xfId="0" applyNumberFormat="1" applyBorder="1" applyAlignment="1">
      <alignment horizontal="center"/>
    </xf>
    <xf numFmtId="165" fontId="0" fillId="0" borderId="45" xfId="0" applyNumberFormat="1" applyBorder="1" applyAlignment="1">
      <alignment horizontal="center"/>
    </xf>
    <xf numFmtId="201" fontId="19" fillId="0" borderId="15" xfId="0" applyNumberFormat="1" applyFont="1" applyBorder="1" applyAlignment="1">
      <alignment horizontal="center"/>
    </xf>
    <xf numFmtId="201" fontId="19" fillId="0" borderId="17" xfId="0" applyNumberFormat="1" applyFont="1" applyBorder="1" applyAlignment="1">
      <alignment horizontal="center"/>
    </xf>
    <xf numFmtId="166" fontId="2" fillId="0" borderId="2" xfId="2" applyNumberFormat="1" applyFont="1" applyBorder="1" applyAlignment="1">
      <alignment horizontal="center"/>
    </xf>
    <xf numFmtId="9" fontId="1" fillId="0" borderId="1" xfId="2" applyFont="1" applyBorder="1" applyAlignment="1">
      <alignment wrapText="1"/>
    </xf>
    <xf numFmtId="9" fontId="0" fillId="0" borderId="17" xfId="2" applyFont="1" applyBorder="1" applyAlignment="1">
      <alignment horizontal="center" wrapText="1"/>
    </xf>
    <xf numFmtId="202" fontId="0" fillId="0" borderId="17" xfId="1" applyNumberFormat="1" applyFont="1" applyBorder="1" applyAlignment="1">
      <alignment horizontal="center" wrapText="1"/>
    </xf>
    <xf numFmtId="185" fontId="0" fillId="0" borderId="1" xfId="0" applyNumberFormat="1" applyBorder="1"/>
    <xf numFmtId="183" fontId="0" fillId="0" borderId="0" xfId="0" applyNumberFormat="1"/>
    <xf numFmtId="0" fontId="0" fillId="0" borderId="0" xfId="0" applyFont="1" applyAlignment="1">
      <alignment horizontal="left"/>
    </xf>
    <xf numFmtId="185" fontId="0" fillId="0" borderId="3" xfId="0" applyNumberFormat="1" applyBorder="1"/>
    <xf numFmtId="185" fontId="2" fillId="0" borderId="1" xfId="0" applyNumberFormat="1" applyFont="1" applyBorder="1"/>
    <xf numFmtId="185" fontId="2" fillId="0" borderId="3" xfId="0" applyNumberFormat="1" applyFont="1" applyBorder="1"/>
    <xf numFmtId="202" fontId="2" fillId="0" borderId="17" xfId="1" applyNumberFormat="1" applyFont="1" applyBorder="1" applyAlignment="1">
      <alignment horizontal="center" wrapText="1"/>
    </xf>
    <xf numFmtId="200" fontId="33" fillId="0" borderId="17" xfId="0" applyNumberFormat="1" applyFont="1" applyFill="1" applyBorder="1" applyAlignment="1">
      <alignment horizontal="center"/>
    </xf>
    <xf numFmtId="200" fontId="33" fillId="0" borderId="16" xfId="0" applyNumberFormat="1" applyFont="1" applyFill="1" applyBorder="1" applyAlignment="1">
      <alignment horizontal="center"/>
    </xf>
    <xf numFmtId="203" fontId="0" fillId="0" borderId="15" xfId="0" applyNumberFormat="1" applyBorder="1" applyAlignment="1">
      <alignment horizontal="center"/>
    </xf>
    <xf numFmtId="0" fontId="0" fillId="0" borderId="0" xfId="0" applyAlignment="1">
      <alignment horizontal="left" indent="4"/>
    </xf>
    <xf numFmtId="10" fontId="0" fillId="0" borderId="16" xfId="0" applyNumberFormat="1" applyBorder="1" applyAlignment="1">
      <alignment horizontal="center"/>
    </xf>
    <xf numFmtId="165" fontId="18" fillId="0" borderId="1" xfId="0" applyNumberFormat="1" applyFont="1" applyFill="1" applyBorder="1"/>
    <xf numFmtId="167" fontId="9" fillId="0" borderId="15" xfId="0" applyNumberFormat="1" applyFont="1" applyFill="1" applyBorder="1" applyAlignment="1">
      <alignment horizontal="center" wrapText="1"/>
    </xf>
    <xf numFmtId="5" fontId="19" fillId="0" borderId="1" xfId="0" applyNumberFormat="1" applyFont="1" applyBorder="1"/>
    <xf numFmtId="0" fontId="0" fillId="0" borderId="0" xfId="0" applyFont="1" applyAlignment="1">
      <alignment horizontal="left" indent="4"/>
    </xf>
    <xf numFmtId="0" fontId="38" fillId="0" borderId="0" xfId="0" applyFont="1"/>
    <xf numFmtId="5" fontId="36" fillId="0" borderId="1" xfId="0" applyNumberFormat="1" applyFont="1" applyBorder="1"/>
    <xf numFmtId="5" fontId="18" fillId="0" borderId="1" xfId="0" applyNumberFormat="1" applyFont="1" applyBorder="1"/>
    <xf numFmtId="5" fontId="36" fillId="0" borderId="3" xfId="0" applyNumberFormat="1" applyFont="1" applyBorder="1"/>
    <xf numFmtId="5" fontId="19" fillId="0" borderId="17" xfId="0" applyNumberFormat="1" applyFont="1" applyBorder="1" applyAlignment="1">
      <alignment horizontal="center"/>
    </xf>
    <xf numFmtId="5" fontId="18" fillId="0" borderId="17" xfId="0" applyNumberFormat="1" applyFont="1" applyBorder="1" applyAlignment="1">
      <alignment horizontal="center"/>
    </xf>
    <xf numFmtId="5" fontId="18" fillId="0" borderId="16" xfId="0" applyNumberFormat="1" applyFont="1" applyBorder="1" applyAlignment="1">
      <alignment horizontal="center"/>
    </xf>
    <xf numFmtId="206" fontId="0" fillId="0" borderId="15" xfId="0" applyNumberFormat="1" applyBorder="1" applyAlignment="1">
      <alignment horizontal="center"/>
    </xf>
    <xf numFmtId="206" fontId="0" fillId="0" borderId="16" xfId="0" applyNumberFormat="1" applyBorder="1" applyAlignment="1">
      <alignment horizontal="center"/>
    </xf>
    <xf numFmtId="207" fontId="0" fillId="0" borderId="17" xfId="0" applyNumberFormat="1" applyBorder="1" applyAlignment="1">
      <alignment horizontal="center"/>
    </xf>
    <xf numFmtId="207" fontId="0" fillId="0" borderId="15" xfId="0" applyNumberFormat="1" applyBorder="1" applyAlignment="1">
      <alignment horizontal="center"/>
    </xf>
    <xf numFmtId="208" fontId="0" fillId="0" borderId="17" xfId="0" applyNumberFormat="1" applyBorder="1" applyAlignment="1">
      <alignment horizontal="center"/>
    </xf>
    <xf numFmtId="208" fontId="0" fillId="0" borderId="15" xfId="0" applyNumberFormat="1" applyBorder="1" applyAlignment="1">
      <alignment horizontal="center"/>
    </xf>
    <xf numFmtId="0" fontId="39" fillId="0" borderId="0" xfId="0" applyFont="1"/>
    <xf numFmtId="0" fontId="7" fillId="0" borderId="0" xfId="0" applyFont="1"/>
    <xf numFmtId="165" fontId="18" fillId="0" borderId="3" xfId="0" applyNumberFormat="1" applyFont="1" applyFill="1" applyBorder="1"/>
    <xf numFmtId="183" fontId="0" fillId="0" borderId="1" xfId="0" applyNumberFormat="1" applyBorder="1"/>
    <xf numFmtId="185" fontId="1" fillId="0" borderId="1" xfId="1" applyNumberFormat="1" applyFont="1" applyFill="1" applyBorder="1" applyAlignment="1">
      <alignment wrapText="1"/>
    </xf>
    <xf numFmtId="185" fontId="0" fillId="0" borderId="1" xfId="0" applyNumberFormat="1" applyFill="1" applyBorder="1"/>
    <xf numFmtId="5" fontId="18" fillId="0" borderId="18" xfId="0" applyNumberFormat="1" applyFont="1" applyBorder="1" applyAlignment="1">
      <alignment horizontal="center"/>
    </xf>
    <xf numFmtId="5" fontId="40" fillId="0" borderId="1" xfId="0" applyNumberFormat="1" applyFont="1" applyBorder="1"/>
    <xf numFmtId="209" fontId="0" fillId="0" borderId="0" xfId="0" applyNumberFormat="1"/>
    <xf numFmtId="185" fontId="2" fillId="0" borderId="1" xfId="1" applyNumberFormat="1" applyFont="1" applyBorder="1" applyAlignment="1">
      <alignment wrapText="1"/>
    </xf>
    <xf numFmtId="185" fontId="1" fillId="0" borderId="1" xfId="1" applyNumberFormat="1" applyFont="1" applyBorder="1" applyAlignment="1">
      <alignment wrapText="1"/>
    </xf>
    <xf numFmtId="204" fontId="0" fillId="0" borderId="15" xfId="0" applyNumberFormat="1" applyFill="1" applyBorder="1" applyAlignment="1">
      <alignment horizontal="center"/>
    </xf>
    <xf numFmtId="5" fontId="32" fillId="0" borderId="1" xfId="0" applyNumberFormat="1" applyFont="1" applyBorder="1"/>
    <xf numFmtId="5" fontId="42" fillId="0" borderId="16" xfId="0" applyNumberFormat="1" applyFont="1" applyBorder="1" applyAlignment="1">
      <alignment horizontal="center"/>
    </xf>
    <xf numFmtId="0" fontId="23" fillId="0" borderId="0" xfId="0" applyFont="1" applyAlignment="1">
      <alignment horizontal="right"/>
    </xf>
    <xf numFmtId="5" fontId="42" fillId="0" borderId="17" xfId="0" applyNumberFormat="1" applyFont="1" applyBorder="1" applyAlignment="1">
      <alignment horizontal="center"/>
    </xf>
    <xf numFmtId="5" fontId="43" fillId="5" borderId="1" xfId="0" applyNumberFormat="1" applyFont="1" applyFill="1" applyBorder="1"/>
    <xf numFmtId="165" fontId="43" fillId="5" borderId="1" xfId="0" applyNumberFormat="1" applyFont="1" applyFill="1" applyBorder="1"/>
    <xf numFmtId="165" fontId="40" fillId="5" borderId="1" xfId="0" applyNumberFormat="1" applyFont="1" applyFill="1" applyBorder="1"/>
    <xf numFmtId="0" fontId="4" fillId="6" borderId="15" xfId="0" applyFont="1" applyFill="1" applyBorder="1" applyAlignment="1">
      <alignment horizontal="center" wrapText="1"/>
    </xf>
    <xf numFmtId="3" fontId="19" fillId="5" borderId="1" xfId="1" applyNumberFormat="1" applyFont="1" applyFill="1" applyBorder="1"/>
    <xf numFmtId="164" fontId="19" fillId="5" borderId="1" xfId="1" applyNumberFormat="1" applyFont="1" applyFill="1" applyBorder="1"/>
    <xf numFmtId="164" fontId="18" fillId="5" borderId="1" xfId="1" applyNumberFormat="1" applyFont="1" applyFill="1" applyBorder="1"/>
    <xf numFmtId="5" fontId="19" fillId="5" borderId="1" xfId="0" applyNumberFormat="1" applyFont="1" applyFill="1" applyBorder="1"/>
    <xf numFmtId="0" fontId="0" fillId="5" borderId="3" xfId="0" applyFill="1" applyBorder="1" applyAlignment="1">
      <alignment horizontal="left" indent="1"/>
    </xf>
    <xf numFmtId="9" fontId="19" fillId="5" borderId="1" xfId="0" applyNumberFormat="1" applyFont="1" applyFill="1" applyBorder="1"/>
    <xf numFmtId="164" fontId="19" fillId="5" borderId="3" xfId="1" applyNumberFormat="1" applyFont="1" applyFill="1" applyBorder="1"/>
    <xf numFmtId="164" fontId="18" fillId="5" borderId="3" xfId="1" applyNumberFormat="1" applyFont="1" applyFill="1" applyBorder="1"/>
    <xf numFmtId="9" fontId="19" fillId="5" borderId="3" xfId="0" applyNumberFormat="1" applyFont="1" applyFill="1" applyBorder="1"/>
    <xf numFmtId="37" fontId="19" fillId="5" borderId="17" xfId="1" applyNumberFormat="1" applyFont="1" applyFill="1" applyBorder="1" applyAlignment="1">
      <alignment horizontal="center"/>
    </xf>
    <xf numFmtId="37" fontId="18" fillId="5" borderId="17" xfId="1" applyNumberFormat="1" applyFont="1" applyFill="1" applyBorder="1" applyAlignment="1">
      <alignment horizontal="center"/>
    </xf>
    <xf numFmtId="5" fontId="19" fillId="5" borderId="17" xfId="0" applyNumberFormat="1" applyFont="1" applyFill="1" applyBorder="1" applyAlignment="1">
      <alignment horizontal="center"/>
    </xf>
    <xf numFmtId="9" fontId="19" fillId="5" borderId="17" xfId="0" applyNumberFormat="1" applyFont="1" applyFill="1" applyBorder="1" applyAlignment="1">
      <alignment horizontal="center"/>
    </xf>
    <xf numFmtId="9" fontId="19" fillId="5" borderId="16" xfId="0" applyNumberFormat="1" applyFont="1" applyFill="1" applyBorder="1" applyAlignment="1">
      <alignment horizontal="center"/>
    </xf>
    <xf numFmtId="165" fontId="2" fillId="5" borderId="16" xfId="0" applyNumberFormat="1" applyFont="1" applyFill="1" applyBorder="1" applyAlignment="1">
      <alignment horizontal="center" vertical="center" wrapText="1"/>
    </xf>
    <xf numFmtId="165" fontId="18" fillId="5" borderId="1" xfId="0" applyNumberFormat="1" applyFont="1" applyFill="1" applyBorder="1"/>
    <xf numFmtId="205" fontId="0" fillId="0" borderId="17" xfId="0" applyNumberFormat="1" applyFill="1" applyBorder="1" applyAlignment="1">
      <alignment horizontal="center"/>
    </xf>
    <xf numFmtId="204" fontId="0" fillId="0" borderId="17" xfId="0" applyNumberFormat="1" applyFill="1" applyBorder="1" applyAlignment="1">
      <alignment horizontal="center"/>
    </xf>
    <xf numFmtId="204" fontId="0" fillId="0" borderId="16" xfId="0" applyNumberFormat="1" applyFill="1" applyBorder="1" applyAlignment="1">
      <alignment horizontal="center"/>
    </xf>
    <xf numFmtId="202" fontId="0" fillId="0" borderId="16" xfId="1" applyNumberFormat="1" applyFont="1" applyBorder="1" applyAlignment="1">
      <alignment horizontal="center" wrapText="1"/>
    </xf>
    <xf numFmtId="204" fontId="0" fillId="0" borderId="21" xfId="0" applyNumberFormat="1" applyFill="1" applyBorder="1" applyAlignment="1">
      <alignment horizontal="center"/>
    </xf>
    <xf numFmtId="0" fontId="0" fillId="5" borderId="15" xfId="0" applyFont="1" applyFill="1" applyBorder="1" applyAlignment="1">
      <alignment horizontal="center"/>
    </xf>
    <xf numFmtId="0" fontId="0" fillId="5" borderId="17" xfId="0" applyFont="1" applyFill="1" applyBorder="1" applyAlignment="1">
      <alignment horizontal="center"/>
    </xf>
    <xf numFmtId="0" fontId="0" fillId="5" borderId="16" xfId="0" applyFont="1" applyFill="1" applyBorder="1" applyAlignment="1">
      <alignment horizontal="center"/>
    </xf>
    <xf numFmtId="165" fontId="0" fillId="0" borderId="27" xfId="0" applyNumberFormat="1" applyBorder="1" applyAlignment="1">
      <alignment horizontal="center"/>
    </xf>
    <xf numFmtId="165" fontId="0" fillId="0" borderId="29" xfId="0" applyNumberFormat="1" applyBorder="1" applyAlignment="1">
      <alignment horizontal="center"/>
    </xf>
    <xf numFmtId="165" fontId="0" fillId="0" borderId="30" xfId="0" applyNumberFormat="1" applyBorder="1" applyAlignment="1">
      <alignment horizontal="center"/>
    </xf>
    <xf numFmtId="165" fontId="0" fillId="0" borderId="46" xfId="0" applyNumberFormat="1" applyBorder="1" applyAlignment="1">
      <alignment horizontal="center"/>
    </xf>
    <xf numFmtId="5" fontId="18" fillId="5" borderId="1" xfId="0" applyNumberFormat="1" applyFont="1" applyFill="1" applyBorder="1"/>
    <xf numFmtId="5" fontId="18" fillId="5" borderId="3" xfId="0" applyNumberFormat="1" applyFont="1" applyFill="1" applyBorder="1"/>
    <xf numFmtId="5" fontId="18" fillId="5" borderId="17" xfId="0" applyNumberFormat="1" applyFont="1" applyFill="1" applyBorder="1" applyAlignment="1">
      <alignment horizontal="center"/>
    </xf>
    <xf numFmtId="0" fontId="2" fillId="5" borderId="4" xfId="0" applyFont="1" applyFill="1" applyBorder="1"/>
    <xf numFmtId="164" fontId="2" fillId="0" borderId="0" xfId="1" applyNumberFormat="1" applyFont="1" applyFill="1" applyBorder="1" applyAlignment="1">
      <alignment wrapText="1"/>
    </xf>
    <xf numFmtId="0" fontId="19" fillId="5" borderId="1" xfId="0" applyFont="1" applyFill="1" applyBorder="1"/>
    <xf numFmtId="0" fontId="19" fillId="5" borderId="3" xfId="0" applyFont="1" applyFill="1" applyBorder="1"/>
    <xf numFmtId="0" fontId="19" fillId="5" borderId="17" xfId="0" applyFont="1" applyFill="1" applyBorder="1" applyAlignment="1">
      <alignment horizontal="center"/>
    </xf>
    <xf numFmtId="0" fontId="18" fillId="5" borderId="1" xfId="0" applyFont="1" applyFill="1" applyBorder="1"/>
    <xf numFmtId="0" fontId="18" fillId="5" borderId="3" xfId="0" applyFont="1" applyFill="1" applyBorder="1"/>
    <xf numFmtId="0" fontId="18" fillId="5" borderId="17" xfId="0" applyFont="1" applyFill="1" applyBorder="1" applyAlignment="1">
      <alignment horizontal="center"/>
    </xf>
    <xf numFmtId="0" fontId="2" fillId="0" borderId="1" xfId="0" applyFont="1" applyFill="1" applyBorder="1" applyAlignment="1">
      <alignment horizontal="right"/>
    </xf>
    <xf numFmtId="164" fontId="0" fillId="0" borderId="1" xfId="1" applyNumberFormat="1" applyFont="1" applyBorder="1"/>
    <xf numFmtId="164" fontId="0" fillId="0" borderId="28" xfId="1" applyNumberFormat="1" applyFont="1" applyBorder="1"/>
    <xf numFmtId="164" fontId="0" fillId="0" borderId="30" xfId="1" applyNumberFormat="1" applyFont="1" applyBorder="1"/>
    <xf numFmtId="164" fontId="0" fillId="0" borderId="31" xfId="1" applyNumberFormat="1" applyFont="1" applyBorder="1"/>
    <xf numFmtId="9" fontId="0" fillId="0" borderId="28" xfId="2" applyFont="1" applyBorder="1"/>
    <xf numFmtId="9" fontId="0" fillId="0" borderId="30" xfId="2" applyFont="1" applyBorder="1"/>
    <xf numFmtId="9" fontId="0" fillId="0" borderId="31" xfId="2" applyFont="1" applyBorder="1"/>
    <xf numFmtId="0" fontId="45" fillId="0" borderId="0" xfId="0" applyFont="1"/>
    <xf numFmtId="164" fontId="45" fillId="0" borderId="0" xfId="1" applyNumberFormat="1" applyFont="1"/>
    <xf numFmtId="0" fontId="45" fillId="0" borderId="0" xfId="0" applyFont="1" applyAlignment="1">
      <alignment horizontal="right"/>
    </xf>
    <xf numFmtId="0" fontId="27" fillId="0" borderId="0" xfId="0" applyFont="1" applyAlignment="1">
      <alignment horizontal="right"/>
    </xf>
    <xf numFmtId="211" fontId="21" fillId="0" borderId="25" xfId="0" applyNumberFormat="1" applyFont="1" applyBorder="1" applyAlignment="1">
      <alignment horizontal="right"/>
    </xf>
    <xf numFmtId="166" fontId="18" fillId="5" borderId="17" xfId="2" applyNumberFormat="1" applyFont="1" applyFill="1" applyBorder="1" applyAlignment="1">
      <alignment horizontal="center"/>
    </xf>
    <xf numFmtId="210" fontId="45" fillId="0" borderId="0" xfId="1" applyNumberFormat="1" applyFont="1"/>
    <xf numFmtId="166" fontId="18" fillId="5" borderId="1" xfId="2" applyNumberFormat="1" applyFont="1" applyFill="1" applyBorder="1"/>
    <xf numFmtId="210" fontId="27" fillId="0" borderId="0" xfId="1" applyNumberFormat="1" applyFont="1"/>
    <xf numFmtId="0" fontId="18" fillId="0" borderId="0" xfId="0" applyFont="1" applyAlignment="1">
      <alignment horizontal="left" indent="4"/>
    </xf>
    <xf numFmtId="0" fontId="4" fillId="6" borderId="15" xfId="0" applyFont="1" applyFill="1" applyBorder="1" applyAlignment="1">
      <alignment horizontal="center" wrapText="1"/>
    </xf>
    <xf numFmtId="0" fontId="4" fillId="6" borderId="15" xfId="0" applyFont="1" applyFill="1" applyBorder="1" applyAlignment="1">
      <alignment horizontal="center" wrapText="1"/>
    </xf>
    <xf numFmtId="165" fontId="46" fillId="0" borderId="6" xfId="0" applyNumberFormat="1" applyFont="1" applyBorder="1" applyAlignment="1">
      <alignment horizontal="center"/>
    </xf>
    <xf numFmtId="165" fontId="46" fillId="0" borderId="1" xfId="0" applyNumberFormat="1" applyFont="1" applyBorder="1" applyAlignment="1">
      <alignment horizontal="center"/>
    </xf>
    <xf numFmtId="165" fontId="46" fillId="0" borderId="30" xfId="0" applyNumberFormat="1" applyFont="1" applyBorder="1" applyAlignment="1">
      <alignment horizontal="center"/>
    </xf>
    <xf numFmtId="205" fontId="0" fillId="0" borderId="16" xfId="0" applyNumberFormat="1" applyFill="1" applyBorder="1" applyAlignment="1">
      <alignment horizontal="center"/>
    </xf>
    <xf numFmtId="2" fontId="2" fillId="0" borderId="1" xfId="0" applyNumberFormat="1" applyFont="1" applyBorder="1"/>
    <xf numFmtId="201" fontId="18" fillId="0" borderId="17" xfId="0" applyNumberFormat="1" applyFont="1" applyBorder="1" applyAlignment="1">
      <alignment horizontal="center"/>
    </xf>
    <xf numFmtId="185" fontId="1" fillId="0" borderId="3" xfId="1" applyNumberFormat="1" applyFont="1" applyBorder="1" applyAlignment="1">
      <alignment wrapText="1"/>
    </xf>
    <xf numFmtId="185" fontId="2" fillId="0" borderId="3" xfId="1" applyNumberFormat="1" applyFont="1" applyBorder="1" applyAlignment="1">
      <alignment wrapText="1"/>
    </xf>
    <xf numFmtId="185" fontId="0" fillId="0" borderId="3" xfId="1" applyNumberFormat="1" applyFont="1" applyBorder="1" applyAlignment="1">
      <alignment wrapText="1"/>
    </xf>
    <xf numFmtId="185" fontId="1" fillId="0" borderId="3" xfId="1" applyNumberFormat="1" applyFont="1" applyFill="1" applyBorder="1" applyAlignment="1">
      <alignment wrapText="1"/>
    </xf>
    <xf numFmtId="9" fontId="1" fillId="0" borderId="3" xfId="2" applyFont="1" applyBorder="1" applyAlignment="1">
      <alignment wrapText="1"/>
    </xf>
    <xf numFmtId="185" fontId="0" fillId="0" borderId="3" xfId="0" applyNumberFormat="1" applyFill="1" applyBorder="1"/>
    <xf numFmtId="164" fontId="0" fillId="0" borderId="3" xfId="0" applyNumberFormat="1" applyFont="1" applyBorder="1"/>
    <xf numFmtId="165" fontId="43" fillId="5" borderId="3" xfId="0" applyNumberFormat="1" applyFont="1" applyFill="1" applyBorder="1"/>
    <xf numFmtId="165" fontId="2" fillId="0" borderId="3" xfId="0" applyNumberFormat="1" applyFont="1" applyBorder="1"/>
    <xf numFmtId="165" fontId="37" fillId="2" borderId="1" xfId="0" applyNumberFormat="1" applyFont="1" applyFill="1" applyBorder="1"/>
    <xf numFmtId="0" fontId="0" fillId="5" borderId="3" xfId="0" applyFont="1" applyFill="1" applyBorder="1" applyAlignment="1">
      <alignment horizontal="left" indent="2"/>
    </xf>
    <xf numFmtId="166" fontId="19" fillId="5" borderId="1" xfId="2" applyNumberFormat="1" applyFont="1" applyFill="1" applyBorder="1"/>
    <xf numFmtId="0" fontId="0" fillId="5" borderId="8" xfId="0" applyFont="1" applyFill="1" applyBorder="1" applyAlignment="1">
      <alignment horizontal="left" indent="2"/>
    </xf>
    <xf numFmtId="0" fontId="47" fillId="0" borderId="0" xfId="0" applyFont="1" applyFill="1" applyBorder="1" applyAlignment="1">
      <alignment horizontal="right" wrapText="1"/>
    </xf>
    <xf numFmtId="165" fontId="0" fillId="5" borderId="17" xfId="0" applyNumberFormat="1" applyFont="1" applyFill="1" applyBorder="1" applyAlignment="1">
      <alignment horizontal="center" vertical="center" wrapText="1"/>
    </xf>
    <xf numFmtId="6" fontId="40" fillId="5" borderId="1" xfId="0" applyNumberFormat="1" applyFont="1" applyFill="1" applyBorder="1"/>
    <xf numFmtId="6" fontId="2" fillId="5" borderId="17" xfId="0" applyNumberFormat="1" applyFont="1" applyFill="1" applyBorder="1" applyAlignment="1">
      <alignment horizontal="center" vertical="center" wrapText="1"/>
    </xf>
    <xf numFmtId="3" fontId="0" fillId="5" borderId="17" xfId="0" applyNumberFormat="1" applyFont="1" applyFill="1" applyBorder="1" applyAlignment="1">
      <alignment horizontal="center" vertical="center" wrapText="1"/>
    </xf>
    <xf numFmtId="166" fontId="1" fillId="5" borderId="18" xfId="2" applyNumberFormat="1" applyFont="1" applyFill="1" applyBorder="1" applyAlignment="1">
      <alignment horizontal="center" vertical="center" wrapText="1"/>
    </xf>
    <xf numFmtId="165" fontId="0" fillId="0" borderId="0" xfId="0" applyNumberFormat="1"/>
    <xf numFmtId="0" fontId="0" fillId="0" borderId="47" xfId="0" applyBorder="1" applyAlignment="1">
      <alignment horizontal="center" wrapText="1"/>
    </xf>
    <xf numFmtId="0" fontId="0" fillId="0" borderId="48" xfId="0" applyBorder="1" applyAlignment="1">
      <alignment horizontal="center" wrapText="1"/>
    </xf>
    <xf numFmtId="165" fontId="0" fillId="0" borderId="0" xfId="0" applyNumberFormat="1" applyAlignment="1">
      <alignment horizontal="center"/>
    </xf>
    <xf numFmtId="0" fontId="0" fillId="0" borderId="0" xfId="0" applyAlignment="1">
      <alignment horizontal="left"/>
    </xf>
    <xf numFmtId="43" fontId="49" fillId="0" borderId="0" xfId="1" applyFont="1" applyFill="1" applyAlignment="1">
      <alignment horizontal="right"/>
    </xf>
    <xf numFmtId="0" fontId="50" fillId="0" borderId="0" xfId="0" applyFont="1" applyAlignment="1">
      <alignment horizontal="right"/>
    </xf>
    <xf numFmtId="43" fontId="50" fillId="0" borderId="1" xfId="0" applyNumberFormat="1" applyFont="1" applyBorder="1"/>
    <xf numFmtId="43" fontId="49" fillId="0" borderId="11" xfId="1" applyFont="1" applyFill="1" applyBorder="1" applyAlignment="1">
      <alignment horizontal="right"/>
    </xf>
    <xf numFmtId="43" fontId="49" fillId="0" borderId="0" xfId="1" applyFont="1" applyFill="1" applyBorder="1" applyAlignment="1">
      <alignment horizontal="right"/>
    </xf>
    <xf numFmtId="43" fontId="49" fillId="0" borderId="12" xfId="1" applyFont="1" applyFill="1" applyBorder="1" applyAlignment="1">
      <alignment horizontal="right"/>
    </xf>
    <xf numFmtId="43" fontId="49" fillId="0" borderId="13" xfId="1" applyFont="1" applyFill="1" applyBorder="1" applyAlignment="1">
      <alignment horizontal="right"/>
    </xf>
    <xf numFmtId="43" fontId="49" fillId="0" borderId="19" xfId="1" applyFont="1" applyFill="1" applyBorder="1" applyAlignment="1">
      <alignment horizontal="right"/>
    </xf>
    <xf numFmtId="43" fontId="49" fillId="0" borderId="5" xfId="1" applyFont="1" applyFill="1" applyBorder="1" applyAlignment="1">
      <alignment horizontal="right"/>
    </xf>
    <xf numFmtId="0" fontId="0" fillId="0" borderId="49" xfId="0" applyBorder="1" applyAlignment="1">
      <alignment horizontal="center" wrapText="1"/>
    </xf>
    <xf numFmtId="165" fontId="0" fillId="0" borderId="50" xfId="0" applyNumberFormat="1" applyBorder="1" applyAlignment="1">
      <alignment horizontal="center"/>
    </xf>
    <xf numFmtId="165" fontId="0" fillId="0" borderId="3" xfId="0" applyNumberFormat="1" applyBorder="1" applyAlignment="1">
      <alignment horizontal="center"/>
    </xf>
    <xf numFmtId="165" fontId="0" fillId="0" borderId="32" xfId="0" applyNumberFormat="1" applyBorder="1" applyAlignment="1">
      <alignment horizontal="center"/>
    </xf>
    <xf numFmtId="43" fontId="49" fillId="0" borderId="11" xfId="1" applyFont="1" applyFill="1" applyBorder="1"/>
    <xf numFmtId="43" fontId="49" fillId="0" borderId="0" xfId="1" applyFont="1" applyFill="1" applyBorder="1"/>
    <xf numFmtId="43" fontId="49" fillId="0" borderId="12" xfId="1" applyFont="1" applyFill="1" applyBorder="1"/>
    <xf numFmtId="43" fontId="49" fillId="0" borderId="13" xfId="1" applyFont="1" applyFill="1" applyBorder="1"/>
    <xf numFmtId="43" fontId="49" fillId="0" borderId="19" xfId="1" applyFont="1" applyFill="1" applyBorder="1"/>
    <xf numFmtId="43" fontId="49" fillId="0" borderId="5" xfId="1" applyFont="1" applyFill="1" applyBorder="1"/>
    <xf numFmtId="165" fontId="49" fillId="8" borderId="3" xfId="0" applyNumberFormat="1" applyFont="1" applyFill="1" applyBorder="1" applyAlignment="1">
      <alignment horizontal="center" wrapText="1"/>
    </xf>
    <xf numFmtId="212" fontId="49" fillId="8" borderId="8" xfId="0" applyNumberFormat="1" applyFont="1" applyFill="1" applyBorder="1" applyAlignment="1">
      <alignment horizontal="center" wrapText="1"/>
    </xf>
    <xf numFmtId="0" fontId="49" fillId="8" borderId="4" xfId="0" applyFont="1" applyFill="1" applyBorder="1" applyAlignment="1">
      <alignment horizontal="center" wrapText="1"/>
    </xf>
    <xf numFmtId="212" fontId="49" fillId="8" borderId="3" xfId="0" applyNumberFormat="1" applyFont="1" applyFill="1" applyBorder="1" applyAlignment="1">
      <alignment horizontal="right" wrapText="1"/>
    </xf>
    <xf numFmtId="212" fontId="49" fillId="8" borderId="8" xfId="0" applyNumberFormat="1" applyFont="1" applyFill="1" applyBorder="1" applyAlignment="1">
      <alignment horizontal="right" wrapText="1"/>
    </xf>
    <xf numFmtId="0" fontId="49" fillId="8" borderId="8" xfId="0" applyFont="1" applyFill="1" applyBorder="1" applyAlignment="1">
      <alignment horizontal="right" wrapText="1"/>
    </xf>
    <xf numFmtId="0" fontId="49" fillId="8" borderId="4" xfId="0" applyFont="1" applyFill="1" applyBorder="1" applyAlignment="1">
      <alignment horizontal="right" wrapText="1"/>
    </xf>
    <xf numFmtId="43" fontId="19" fillId="0" borderId="1" xfId="1" applyFont="1" applyBorder="1" applyAlignment="1">
      <alignment wrapText="1"/>
    </xf>
    <xf numFmtId="0" fontId="19" fillId="0" borderId="7" xfId="0" applyFont="1" applyBorder="1" applyAlignment="1">
      <alignment horizontal="right" wrapText="1"/>
    </xf>
    <xf numFmtId="0" fontId="0" fillId="0" borderId="1" xfId="0" applyBorder="1" applyAlignment="1"/>
    <xf numFmtId="200" fontId="33" fillId="0" borderId="15" xfId="0" applyNumberFormat="1" applyFont="1" applyFill="1" applyBorder="1" applyAlignment="1">
      <alignment horizontal="center"/>
    </xf>
    <xf numFmtId="2" fontId="0" fillId="0" borderId="0" xfId="0" applyNumberFormat="1" applyFont="1" applyFill="1" applyBorder="1"/>
    <xf numFmtId="43" fontId="19" fillId="2" borderId="1" xfId="1" applyFont="1" applyFill="1" applyBorder="1"/>
    <xf numFmtId="0" fontId="0" fillId="9" borderId="0" xfId="0" applyFont="1" applyFill="1" applyAlignment="1">
      <alignment horizontal="left" indent="2"/>
    </xf>
    <xf numFmtId="0" fontId="0" fillId="9" borderId="0" xfId="0" applyFill="1" applyAlignment="1">
      <alignment horizontal="left" indent="2"/>
    </xf>
    <xf numFmtId="0" fontId="53" fillId="0" borderId="0" xfId="0" applyFont="1" applyAlignment="1">
      <alignment vertical="top"/>
    </xf>
    <xf numFmtId="0" fontId="54" fillId="0" borderId="0" xfId="0" applyFont="1" applyAlignment="1">
      <alignment vertical="top"/>
    </xf>
    <xf numFmtId="0" fontId="55" fillId="0" borderId="0" xfId="0" applyFont="1" applyAlignment="1">
      <alignment horizontal="center" vertical="top"/>
    </xf>
    <xf numFmtId="0" fontId="54" fillId="0" borderId="0" xfId="0" applyFont="1" applyAlignment="1">
      <alignment horizontal="right" vertical="top" wrapText="1"/>
    </xf>
    <xf numFmtId="0" fontId="54" fillId="0" borderId="47" xfId="0" applyFont="1" applyBorder="1" applyAlignment="1">
      <alignment horizontal="center" vertical="top" wrapText="1"/>
    </xf>
    <xf numFmtId="0" fontId="54" fillId="0" borderId="48" xfId="0" applyFont="1" applyBorder="1" applyAlignment="1">
      <alignment horizontal="center" vertical="top" wrapText="1"/>
    </xf>
    <xf numFmtId="0" fontId="54" fillId="0" borderId="49" xfId="0" applyFont="1" applyBorder="1" applyAlignment="1">
      <alignment horizontal="center" vertical="top" wrapText="1"/>
    </xf>
    <xf numFmtId="9" fontId="0" fillId="0" borderId="24" xfId="2" applyFont="1" applyBorder="1"/>
    <xf numFmtId="9" fontId="0" fillId="0" borderId="25" xfId="2" applyFont="1" applyBorder="1"/>
    <xf numFmtId="9" fontId="0" fillId="0" borderId="27" xfId="2" applyFont="1" applyBorder="1"/>
    <xf numFmtId="9" fontId="0" fillId="0" borderId="29" xfId="2" applyFont="1" applyBorder="1"/>
    <xf numFmtId="9" fontId="0" fillId="0" borderId="50" xfId="2" applyFont="1" applyBorder="1"/>
    <xf numFmtId="9" fontId="0" fillId="0" borderId="32" xfId="2" applyFont="1" applyBorder="1"/>
    <xf numFmtId="0" fontId="56" fillId="0" borderId="0" xfId="0" applyFont="1" applyAlignment="1">
      <alignment horizontal="left" vertical="top" indent="2"/>
    </xf>
    <xf numFmtId="213" fontId="21" fillId="0" borderId="26" xfId="2" applyNumberFormat="1" applyFont="1" applyBorder="1" applyAlignment="1">
      <alignment horizontal="right"/>
    </xf>
    <xf numFmtId="9" fontId="0" fillId="0" borderId="0" xfId="2" applyFont="1"/>
    <xf numFmtId="9" fontId="6" fillId="2" borderId="1" xfId="2" applyFont="1" applyFill="1" applyBorder="1" applyAlignment="1">
      <alignment horizontal="center"/>
    </xf>
    <xf numFmtId="0" fontId="19" fillId="0" borderId="9" xfId="0" applyFont="1" applyFill="1" applyBorder="1" applyAlignment="1">
      <alignment horizontal="left"/>
    </xf>
    <xf numFmtId="0" fontId="4" fillId="6" borderId="15" xfId="0" applyFont="1" applyFill="1" applyBorder="1" applyAlignment="1">
      <alignment horizontal="center" wrapText="1"/>
    </xf>
    <xf numFmtId="9" fontId="0" fillId="0" borderId="1" xfId="0" applyNumberFormat="1" applyBorder="1"/>
    <xf numFmtId="0" fontId="2" fillId="0" borderId="52" xfId="0" applyFont="1" applyFill="1" applyBorder="1" applyAlignment="1">
      <alignment horizontal="left" indent="1"/>
    </xf>
    <xf numFmtId="166" fontId="2" fillId="0" borderId="0" xfId="0" applyNumberFormat="1" applyFont="1"/>
    <xf numFmtId="166" fontId="0" fillId="2" borderId="1" xfId="0" applyNumberFormat="1" applyFont="1" applyFill="1" applyBorder="1"/>
    <xf numFmtId="166" fontId="0" fillId="0" borderId="1" xfId="0" applyNumberFormat="1" applyFont="1" applyBorder="1"/>
    <xf numFmtId="9" fontId="0" fillId="0" borderId="46" xfId="2" applyFont="1" applyBorder="1"/>
    <xf numFmtId="0" fontId="54" fillId="0" borderId="41" xfId="0" applyFont="1" applyBorder="1" applyAlignment="1">
      <alignment horizontal="center" vertical="top" wrapText="1"/>
    </xf>
    <xf numFmtId="0" fontId="0" fillId="0" borderId="48" xfId="0" applyBorder="1" applyAlignment="1">
      <alignment horizontal="center" vertical="top" wrapText="1"/>
    </xf>
    <xf numFmtId="0" fontId="0" fillId="0" borderId="51" xfId="0" applyBorder="1" applyAlignment="1">
      <alignment horizontal="center" vertical="top" wrapText="1"/>
    </xf>
    <xf numFmtId="9" fontId="0" fillId="0" borderId="24" xfId="0" applyNumberFormat="1" applyBorder="1"/>
    <xf numFmtId="9" fontId="0" fillId="0" borderId="25" xfId="0" applyNumberFormat="1" applyBorder="1"/>
    <xf numFmtId="9" fontId="0" fillId="0" borderId="26" xfId="0" applyNumberFormat="1" applyBorder="1"/>
    <xf numFmtId="9" fontId="0" fillId="0" borderId="27" xfId="0" applyNumberFormat="1" applyBorder="1"/>
    <xf numFmtId="9" fontId="0" fillId="0" borderId="28" xfId="0" applyNumberFormat="1" applyBorder="1"/>
    <xf numFmtId="9" fontId="0" fillId="0" borderId="29" xfId="0" applyNumberFormat="1" applyBorder="1"/>
    <xf numFmtId="9" fontId="0" fillId="0" borderId="30" xfId="0" applyNumberFormat="1" applyBorder="1"/>
    <xf numFmtId="9" fontId="0" fillId="0" borderId="31" xfId="0" applyNumberFormat="1" applyBorder="1"/>
    <xf numFmtId="166" fontId="0" fillId="0" borderId="0" xfId="0" applyNumberFormat="1"/>
    <xf numFmtId="166" fontId="0" fillId="2" borderId="1" xfId="2" applyNumberFormat="1" applyFont="1" applyFill="1" applyBorder="1"/>
    <xf numFmtId="0" fontId="54" fillId="0" borderId="53" xfId="0" applyFont="1" applyFill="1" applyBorder="1" applyAlignment="1">
      <alignment horizontal="center" vertical="top" wrapText="1"/>
    </xf>
    <xf numFmtId="9" fontId="0" fillId="0" borderId="19" xfId="0" applyNumberFormat="1" applyBorder="1"/>
    <xf numFmtId="9" fontId="0" fillId="0" borderId="8" xfId="0" applyNumberFormat="1" applyBorder="1"/>
    <xf numFmtId="9" fontId="0" fillId="0" borderId="33" xfId="0" applyNumberFormat="1" applyBorder="1"/>
    <xf numFmtId="0" fontId="54" fillId="0" borderId="43" xfId="0" applyFont="1" applyBorder="1" applyAlignment="1">
      <alignment horizontal="center" vertical="top" wrapText="1"/>
    </xf>
    <xf numFmtId="9" fontId="0" fillId="0" borderId="40" xfId="2" applyFont="1" applyBorder="1"/>
    <xf numFmtId="0" fontId="0" fillId="0" borderId="47" xfId="0" applyBorder="1" applyAlignment="1">
      <alignment horizontal="center" vertical="top" wrapText="1"/>
    </xf>
    <xf numFmtId="166" fontId="0" fillId="2" borderId="1" xfId="0" applyNumberFormat="1" applyFont="1" applyFill="1" applyBorder="1" applyAlignment="1">
      <alignment horizontal="right"/>
    </xf>
    <xf numFmtId="0" fontId="0" fillId="0" borderId="22" xfId="0" applyBorder="1"/>
    <xf numFmtId="0" fontId="0" fillId="0" borderId="17" xfId="0" applyBorder="1"/>
    <xf numFmtId="0" fontId="0" fillId="0" borderId="16" xfId="0" applyBorder="1"/>
    <xf numFmtId="0" fontId="0" fillId="0" borderId="55" xfId="0" applyBorder="1" applyAlignment="1">
      <alignment horizontal="right"/>
    </xf>
    <xf numFmtId="0" fontId="0" fillId="0" borderId="36" xfId="0" applyBorder="1" applyAlignment="1">
      <alignment horizontal="right"/>
    </xf>
    <xf numFmtId="181" fontId="0" fillId="0" borderId="55" xfId="0" applyNumberFormat="1" applyBorder="1" applyAlignment="1">
      <alignment horizontal="right"/>
    </xf>
    <xf numFmtId="181" fontId="0" fillId="0" borderId="36" xfId="0" applyNumberFormat="1" applyBorder="1" applyAlignment="1">
      <alignment horizontal="right"/>
    </xf>
    <xf numFmtId="0" fontId="2" fillId="0" borderId="15" xfId="0" applyFont="1" applyBorder="1"/>
    <xf numFmtId="181" fontId="2" fillId="0" borderId="54" xfId="0" applyNumberFormat="1" applyFont="1" applyBorder="1" applyAlignment="1">
      <alignment horizontal="right"/>
    </xf>
    <xf numFmtId="0" fontId="2" fillId="0" borderId="54" xfId="0" applyFont="1" applyBorder="1" applyAlignment="1">
      <alignment horizontal="right"/>
    </xf>
    <xf numFmtId="0" fontId="0" fillId="0" borderId="22" xfId="0" applyBorder="1" applyAlignment="1">
      <alignment horizontal="right"/>
    </xf>
    <xf numFmtId="200" fontId="6" fillId="0" borderId="17" xfId="0" applyNumberFormat="1" applyFont="1" applyFill="1" applyBorder="1" applyAlignment="1">
      <alignment horizontal="center"/>
    </xf>
    <xf numFmtId="8" fontId="9" fillId="0" borderId="1" xfId="0" applyNumberFormat="1" applyFont="1" applyFill="1" applyBorder="1" applyAlignment="1">
      <alignment horizontal="right"/>
    </xf>
    <xf numFmtId="200" fontId="9" fillId="0" borderId="16" xfId="0" applyNumberFormat="1" applyFont="1" applyFill="1" applyBorder="1" applyAlignment="1">
      <alignment horizontal="center"/>
    </xf>
    <xf numFmtId="181" fontId="0" fillId="0" borderId="1" xfId="0" applyNumberFormat="1" applyFill="1" applyBorder="1"/>
    <xf numFmtId="2" fontId="0" fillId="0" borderId="0" xfId="0" applyNumberFormat="1" applyBorder="1"/>
    <xf numFmtId="2" fontId="0" fillId="0" borderId="1" xfId="0" applyNumberFormat="1" applyBorder="1"/>
    <xf numFmtId="0" fontId="46" fillId="0" borderId="0" xfId="0" applyFont="1"/>
    <xf numFmtId="166" fontId="0" fillId="0" borderId="1" xfId="0" applyNumberFormat="1" applyFont="1" applyBorder="1" applyAlignment="1">
      <alignment horizontal="right"/>
    </xf>
    <xf numFmtId="197" fontId="0" fillId="0" borderId="15" xfId="0" applyNumberFormat="1" applyBorder="1" applyAlignment="1">
      <alignment horizontal="center"/>
    </xf>
    <xf numFmtId="197" fontId="0" fillId="0" borderId="16" xfId="0" applyNumberFormat="1" applyBorder="1" applyAlignment="1">
      <alignment horizontal="center"/>
    </xf>
    <xf numFmtId="165" fontId="6" fillId="0" borderId="1" xfId="0" applyNumberFormat="1" applyFont="1" applyFill="1" applyBorder="1"/>
    <xf numFmtId="43" fontId="0" fillId="0" borderId="0" xfId="1" applyFont="1"/>
    <xf numFmtId="0" fontId="4" fillId="6" borderId="15" xfId="0" applyFont="1" applyFill="1" applyBorder="1" applyAlignment="1">
      <alignment horizontal="center" wrapText="1"/>
    </xf>
    <xf numFmtId="165" fontId="19" fillId="5" borderId="1" xfId="0" applyNumberFormat="1" applyFont="1" applyFill="1" applyBorder="1"/>
    <xf numFmtId="0" fontId="0" fillId="5" borderId="3" xfId="0" applyFill="1" applyBorder="1" applyAlignment="1">
      <alignment horizontal="left" indent="13"/>
    </xf>
    <xf numFmtId="0" fontId="4" fillId="6" borderId="15" xfId="0" applyFont="1" applyFill="1" applyBorder="1" applyAlignment="1">
      <alignment horizontal="center" wrapText="1"/>
    </xf>
    <xf numFmtId="214" fontId="18" fillId="0" borderId="16" xfId="0" applyNumberFormat="1" applyFont="1" applyFill="1" applyBorder="1" applyAlignment="1">
      <alignment horizontal="center"/>
    </xf>
    <xf numFmtId="0" fontId="0" fillId="0" borderId="0" xfId="0" applyAlignment="1">
      <alignment vertical="center"/>
    </xf>
    <xf numFmtId="0" fontId="58" fillId="0" borderId="0" xfId="0" applyFont="1" applyAlignment="1">
      <alignment vertical="center"/>
    </xf>
    <xf numFmtId="0" fontId="27" fillId="0" borderId="0" xfId="0" applyFont="1" applyAlignment="1">
      <alignment vertical="center"/>
    </xf>
    <xf numFmtId="0" fontId="25" fillId="0" borderId="0" xfId="3"/>
    <xf numFmtId="0" fontId="60" fillId="0" borderId="0" xfId="0" applyFont="1" applyAlignment="1">
      <alignment horizontal="justify" vertical="center"/>
    </xf>
    <xf numFmtId="0" fontId="59" fillId="0" borderId="0" xfId="0" applyFont="1" applyAlignment="1">
      <alignment horizontal="left" vertical="center"/>
    </xf>
    <xf numFmtId="0" fontId="0" fillId="0" borderId="0" xfId="0" applyAlignment="1">
      <alignment horizontal="left" vertical="center" wrapText="1"/>
    </xf>
    <xf numFmtId="0" fontId="4" fillId="6" borderId="15" xfId="0" applyFont="1" applyFill="1" applyBorder="1" applyAlignment="1">
      <alignment horizontal="center" wrapText="1"/>
    </xf>
    <xf numFmtId="165" fontId="36" fillId="0" borderId="0" xfId="0" applyNumberFormat="1" applyFont="1" applyBorder="1"/>
    <xf numFmtId="0" fontId="2" fillId="0" borderId="6" xfId="0" applyFont="1" applyBorder="1" applyAlignment="1">
      <alignment horizontal="left" wrapText="1" indent="2"/>
    </xf>
    <xf numFmtId="165" fontId="36" fillId="0" borderId="1" xfId="0" applyNumberFormat="1" applyFont="1" applyFill="1" applyBorder="1"/>
    <xf numFmtId="165" fontId="0" fillId="0" borderId="15" xfId="0" applyNumberFormat="1" applyBorder="1" applyAlignment="1">
      <alignment horizontal="center"/>
    </xf>
    <xf numFmtId="0" fontId="0" fillId="0" borderId="1" xfId="0" applyBorder="1" applyAlignment="1">
      <alignment horizontal="left" wrapText="1" indent="10"/>
    </xf>
    <xf numFmtId="0" fontId="0" fillId="0" borderId="1" xfId="0" applyBorder="1" applyAlignment="1">
      <alignment horizontal="left" wrapText="1" indent="14"/>
    </xf>
    <xf numFmtId="165" fontId="37" fillId="0" borderId="1" xfId="0" applyNumberFormat="1" applyFont="1" applyBorder="1"/>
    <xf numFmtId="0" fontId="9" fillId="11" borderId="6" xfId="0" applyFont="1" applyFill="1" applyBorder="1" applyAlignment="1">
      <alignment horizontal="right" vertical="center" wrapText="1"/>
    </xf>
    <xf numFmtId="0" fontId="2" fillId="6" borderId="3" xfId="0" applyFont="1" applyFill="1" applyBorder="1"/>
    <xf numFmtId="0" fontId="4" fillId="6" borderId="8" xfId="0" applyFont="1" applyFill="1" applyBorder="1" applyAlignment="1">
      <alignment horizontal="center" vertical="center"/>
    </xf>
    <xf numFmtId="165" fontId="2" fillId="6" borderId="4" xfId="0" applyNumberFormat="1" applyFont="1" applyFill="1" applyBorder="1" applyAlignment="1">
      <alignment horizontal="right"/>
    </xf>
    <xf numFmtId="165" fontId="2" fillId="6" borderId="8" xfId="0" applyNumberFormat="1" applyFont="1" applyFill="1" applyBorder="1" applyAlignment="1">
      <alignment horizontal="right"/>
    </xf>
    <xf numFmtId="1" fontId="0" fillId="11" borderId="1" xfId="2" applyNumberFormat="1" applyFont="1" applyFill="1" applyBorder="1" applyAlignment="1">
      <alignment horizontal="right"/>
    </xf>
    <xf numFmtId="181" fontId="2" fillId="0" borderId="0" xfId="0" applyNumberFormat="1" applyFont="1" applyBorder="1" applyAlignment="1">
      <alignment horizontal="right"/>
    </xf>
    <xf numFmtId="2" fontId="0" fillId="11" borderId="1" xfId="2" applyNumberFormat="1" applyFont="1" applyFill="1" applyBorder="1" applyAlignment="1">
      <alignment horizontal="right"/>
    </xf>
    <xf numFmtId="165" fontId="2" fillId="0" borderId="6" xfId="0" applyNumberFormat="1" applyFont="1" applyBorder="1" applyAlignment="1">
      <alignment horizontal="right"/>
    </xf>
    <xf numFmtId="165" fontId="2" fillId="0" borderId="7" xfId="0" applyNumberFormat="1" applyFont="1" applyBorder="1" applyAlignment="1">
      <alignment horizontal="right"/>
    </xf>
    <xf numFmtId="6" fontId="19" fillId="11" borderId="1" xfId="2" applyNumberFormat="1" applyFont="1" applyFill="1" applyBorder="1"/>
    <xf numFmtId="0" fontId="0" fillId="0" borderId="1" xfId="0" applyFont="1" applyFill="1" applyBorder="1" applyAlignment="1">
      <alignment horizontal="left" indent="1"/>
    </xf>
    <xf numFmtId="0" fontId="0" fillId="0" borderId="15" xfId="0" applyFont="1" applyBorder="1" applyAlignment="1">
      <alignment horizontal="center"/>
    </xf>
    <xf numFmtId="9" fontId="19" fillId="11" borderId="1" xfId="2" applyFont="1" applyFill="1" applyBorder="1"/>
    <xf numFmtId="166" fontId="19" fillId="11" borderId="1" xfId="2" applyNumberFormat="1" applyFont="1" applyFill="1" applyBorder="1"/>
    <xf numFmtId="9" fontId="6" fillId="2" borderId="1" xfId="2" applyFont="1" applyFill="1" applyBorder="1" applyAlignment="1">
      <alignment horizontal="right" wrapText="1"/>
    </xf>
    <xf numFmtId="165" fontId="18" fillId="5" borderId="17" xfId="0" applyNumberFormat="1" applyFont="1" applyFill="1" applyBorder="1" applyAlignment="1">
      <alignment horizontal="center" vertical="center" wrapText="1"/>
    </xf>
    <xf numFmtId="165" fontId="18" fillId="5" borderId="16" xfId="0" applyNumberFormat="1" applyFont="1" applyFill="1" applyBorder="1" applyAlignment="1">
      <alignment horizontal="center" vertical="center" wrapText="1"/>
    </xf>
    <xf numFmtId="0" fontId="0" fillId="0" borderId="0" xfId="0" applyFont="1" applyAlignment="1">
      <alignment horizontal="center"/>
    </xf>
    <xf numFmtId="43" fontId="0" fillId="0" borderId="0" xfId="0" applyNumberFormat="1"/>
    <xf numFmtId="8" fontId="0" fillId="0" borderId="0" xfId="0" applyNumberFormat="1"/>
    <xf numFmtId="215" fontId="0" fillId="0" borderId="0" xfId="0" applyNumberFormat="1" applyFill="1" applyBorder="1"/>
    <xf numFmtId="9" fontId="0" fillId="0" borderId="34" xfId="2" applyFont="1" applyFill="1" applyBorder="1" applyAlignment="1">
      <alignment horizontal="left" vertical="center" indent="2"/>
    </xf>
    <xf numFmtId="216" fontId="0" fillId="0" borderId="34" xfId="2" applyNumberFormat="1" applyFont="1" applyFill="1" applyBorder="1" applyAlignment="1">
      <alignment horizontal="left" vertical="center" indent="2"/>
    </xf>
    <xf numFmtId="0" fontId="0" fillId="12" borderId="11" xfId="0" applyFill="1" applyBorder="1"/>
    <xf numFmtId="0" fontId="62" fillId="0" borderId="0" xfId="0" applyFont="1"/>
    <xf numFmtId="205" fontId="0" fillId="0" borderId="0" xfId="0" applyNumberFormat="1"/>
    <xf numFmtId="0" fontId="63" fillId="0" borderId="0" xfId="0" applyFont="1" applyAlignment="1">
      <alignment horizontal="center"/>
    </xf>
    <xf numFmtId="10" fontId="46" fillId="0" borderId="0" xfId="2" applyNumberFormat="1" applyFont="1"/>
    <xf numFmtId="10" fontId="62" fillId="0" borderId="0" xfId="2" applyNumberFormat="1" applyFont="1"/>
    <xf numFmtId="0" fontId="46" fillId="0" borderId="0" xfId="0" applyFont="1" applyAlignment="1">
      <alignment horizontal="right"/>
    </xf>
    <xf numFmtId="2" fontId="46" fillId="0" borderId="0" xfId="0" applyNumberFormat="1" applyFont="1"/>
    <xf numFmtId="165" fontId="46" fillId="0" borderId="0" xfId="0" applyNumberFormat="1" applyFont="1"/>
    <xf numFmtId="10" fontId="46" fillId="0" borderId="0" xfId="0" applyNumberFormat="1" applyFont="1"/>
    <xf numFmtId="0" fontId="46" fillId="9" borderId="0" xfId="0" applyFont="1" applyFill="1"/>
    <xf numFmtId="0" fontId="64" fillId="0" borderId="0" xfId="0" applyFont="1" applyAlignment="1">
      <alignment horizontal="right"/>
    </xf>
    <xf numFmtId="0" fontId="65" fillId="0" borderId="0" xfId="0" applyFont="1"/>
    <xf numFmtId="0" fontId="0" fillId="10" borderId="0" xfId="0" applyFill="1" applyAlignment="1">
      <alignment horizontal="left" wrapText="1"/>
    </xf>
    <xf numFmtId="0" fontId="6" fillId="0" borderId="0" xfId="0" applyFont="1" applyAlignment="1">
      <alignment horizontal="left" vertical="center" wrapText="1"/>
    </xf>
    <xf numFmtId="0" fontId="0" fillId="0" borderId="0" xfId="0" applyAlignment="1">
      <alignment horizontal="left" wrapText="1"/>
    </xf>
    <xf numFmtId="0" fontId="0" fillId="0" borderId="0" xfId="0" applyFont="1" applyAlignment="1">
      <alignment horizontal="left" vertical="center" wrapText="1"/>
    </xf>
    <xf numFmtId="0" fontId="0" fillId="2" borderId="3" xfId="0" applyFill="1" applyBorder="1" applyAlignment="1">
      <alignment horizontal="left" wrapText="1" indent="1"/>
    </xf>
    <xf numFmtId="0" fontId="0" fillId="2" borderId="8" xfId="0" applyFill="1" applyBorder="1" applyAlignment="1">
      <alignment horizontal="left" wrapText="1" indent="1"/>
    </xf>
    <xf numFmtId="0" fontId="0" fillId="0" borderId="0" xfId="0" applyFill="1" applyBorder="1" applyAlignment="1">
      <alignment horizontal="left" wrapText="1" indent="1"/>
    </xf>
    <xf numFmtId="0" fontId="25" fillId="0" borderId="0" xfId="3" applyAlignment="1">
      <alignment horizontal="left"/>
    </xf>
    <xf numFmtId="0" fontId="0" fillId="2" borderId="1" xfId="0" applyFill="1" applyBorder="1" applyAlignment="1">
      <alignment horizontal="left" wrapText="1" indent="1"/>
    </xf>
    <xf numFmtId="0" fontId="0" fillId="5" borderId="3" xfId="0" applyFont="1" applyFill="1" applyBorder="1" applyAlignment="1">
      <alignment horizontal="center"/>
    </xf>
    <xf numFmtId="0" fontId="0" fillId="5" borderId="8" xfId="0" applyFont="1" applyFill="1" applyBorder="1" applyAlignment="1">
      <alignment horizontal="center"/>
    </xf>
    <xf numFmtId="0" fontId="25" fillId="0" borderId="0" xfId="3" applyFill="1" applyBorder="1" applyAlignment="1">
      <alignment horizontal="left"/>
    </xf>
    <xf numFmtId="0" fontId="0" fillId="2" borderId="3" xfId="0" applyFont="1" applyFill="1" applyBorder="1" applyAlignment="1">
      <alignment horizontal="center"/>
    </xf>
    <xf numFmtId="0" fontId="0" fillId="2" borderId="8" xfId="0" applyFont="1" applyFill="1" applyBorder="1" applyAlignment="1">
      <alignment horizontal="center"/>
    </xf>
    <xf numFmtId="0" fontId="4" fillId="6" borderId="15" xfId="0" applyFont="1" applyFill="1" applyBorder="1" applyAlignment="1">
      <alignment horizontal="center" wrapText="1"/>
    </xf>
    <xf numFmtId="0" fontId="4" fillId="6" borderId="17" xfId="0" applyFont="1" applyFill="1" applyBorder="1" applyAlignment="1">
      <alignment horizontal="center" wrapText="1"/>
    </xf>
    <xf numFmtId="0" fontId="4" fillId="3" borderId="10" xfId="0" applyFont="1" applyFill="1" applyBorder="1" applyAlignment="1">
      <alignment horizontal="center"/>
    </xf>
    <xf numFmtId="0" fontId="4" fillId="3" borderId="20" xfId="0" applyFont="1" applyFill="1" applyBorder="1" applyAlignment="1">
      <alignment horizontal="center"/>
    </xf>
    <xf numFmtId="0" fontId="51" fillId="0" borderId="3" xfId="0" applyFont="1" applyBorder="1" applyAlignment="1">
      <alignment horizontal="left"/>
    </xf>
    <xf numFmtId="0" fontId="51" fillId="0" borderId="8" xfId="0" applyFont="1" applyBorder="1" applyAlignment="1">
      <alignment horizontal="left"/>
    </xf>
    <xf numFmtId="0" fontId="51" fillId="0" borderId="4" xfId="0" applyFont="1" applyBorder="1" applyAlignment="1">
      <alignment horizontal="left"/>
    </xf>
    <xf numFmtId="0" fontId="52" fillId="0" borderId="3" xfId="0" applyFont="1" applyBorder="1" applyAlignment="1">
      <alignment horizontal="left"/>
    </xf>
    <xf numFmtId="0" fontId="52" fillId="0" borderId="8" xfId="0" applyFont="1" applyBorder="1" applyAlignment="1">
      <alignment horizontal="left"/>
    </xf>
    <xf numFmtId="0" fontId="52" fillId="0" borderId="4" xfId="0" applyFont="1" applyBorder="1" applyAlignment="1">
      <alignment horizontal="left"/>
    </xf>
  </cellXfs>
  <cellStyles count="4">
    <cellStyle name="Comma" xfId="1" builtinId="3"/>
    <cellStyle name="Hyperlink" xfId="3" builtinId="8"/>
    <cellStyle name="Normal" xfId="0" builtinId="0"/>
    <cellStyle name="Percent" xfId="2" builtinId="5"/>
  </cellStyles>
  <dxfs count="14">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0"/>
      </font>
      <fill>
        <patternFill>
          <bgColor rgb="FF00B050"/>
        </patternFill>
      </fill>
    </dxf>
    <dxf>
      <font>
        <b/>
        <i val="0"/>
        <color theme="0"/>
      </font>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586644</xdr:colOff>
      <xdr:row>0</xdr:row>
      <xdr:rowOff>2</xdr:rowOff>
    </xdr:from>
    <xdr:to>
      <xdr:col>9</xdr:col>
      <xdr:colOff>49873</xdr:colOff>
      <xdr:row>7</xdr:row>
      <xdr:rowOff>0</xdr:rowOff>
    </xdr:to>
    <xdr:pic>
      <xdr:nvPicPr>
        <xdr:cNvPr id="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5444" y="2"/>
          <a:ext cx="3120829" cy="1335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205740</xdr:colOff>
      <xdr:row>26</xdr:row>
      <xdr:rowOff>27543</xdr:rowOff>
    </xdr:from>
    <xdr:to>
      <xdr:col>2</xdr:col>
      <xdr:colOff>472440</xdr:colOff>
      <xdr:row>29</xdr:row>
      <xdr:rowOff>164703</xdr:rowOff>
    </xdr:to>
    <xdr:pic>
      <xdr:nvPicPr>
        <xdr:cNvPr id="3"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740" y="6114362"/>
          <a:ext cx="1478555" cy="697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53340</xdr:colOff>
      <xdr:row>26</xdr:row>
      <xdr:rowOff>27543</xdr:rowOff>
    </xdr:from>
    <xdr:to>
      <xdr:col>6</xdr:col>
      <xdr:colOff>335280</xdr:colOff>
      <xdr:row>29</xdr:row>
      <xdr:rowOff>172323</xdr:rowOff>
    </xdr:to>
    <xdr:pic>
      <xdr:nvPicPr>
        <xdr:cNvPr id="4" name="Picture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7051" y="6114362"/>
          <a:ext cx="1493795" cy="704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510540</xdr:colOff>
      <xdr:row>26</xdr:row>
      <xdr:rowOff>27543</xdr:rowOff>
    </xdr:from>
    <xdr:to>
      <xdr:col>10</xdr:col>
      <xdr:colOff>144780</xdr:colOff>
      <xdr:row>29</xdr:row>
      <xdr:rowOff>141843</xdr:rowOff>
    </xdr:to>
    <xdr:pic>
      <xdr:nvPicPr>
        <xdr:cNvPr id="5" name="Picture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52034" y="6114362"/>
          <a:ext cx="1452023" cy="67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475145</xdr:colOff>
      <xdr:row>19</xdr:row>
      <xdr:rowOff>0</xdr:rowOff>
    </xdr:from>
    <xdr:to>
      <xdr:col>9</xdr:col>
      <xdr:colOff>417995</xdr:colOff>
      <xdr:row>22</xdr:row>
      <xdr:rowOff>158177</xdr:rowOff>
    </xdr:to>
    <xdr:pic>
      <xdr:nvPicPr>
        <xdr:cNvPr id="6"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5145" y="5871882"/>
          <a:ext cx="5429250" cy="69605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53974</xdr:colOff>
      <xdr:row>1</xdr:row>
      <xdr:rowOff>34924</xdr:rowOff>
    </xdr:from>
    <xdr:to>
      <xdr:col>15</xdr:col>
      <xdr:colOff>153333</xdr:colOff>
      <xdr:row>1</xdr:row>
      <xdr:rowOff>220078</xdr:rowOff>
    </xdr:to>
    <xdr:sp macro="" textlink="">
      <xdr:nvSpPr>
        <xdr:cNvPr id="2" name="Right Brace 1"/>
        <xdr:cNvSpPr/>
      </xdr:nvSpPr>
      <xdr:spPr>
        <a:xfrm rot="16200000" flipV="1">
          <a:off x="11769223" y="-4568324"/>
          <a:ext cx="185154" cy="9788526"/>
        </a:xfrm>
        <a:prstGeom prst="rightBrace">
          <a:avLst>
            <a:gd name="adj1" fmla="val 28573"/>
            <a:gd name="adj2" fmla="val 84172"/>
          </a:avLst>
        </a:prstGeom>
        <a:ln w="38100">
          <a:solidFill>
            <a:srgbClr val="FFC000"/>
          </a:solidFill>
        </a:ln>
        <a:effectLst>
          <a:glow rad="63500">
            <a:schemeClr val="bg1">
              <a:lumMod val="50000"/>
            </a:schemeClr>
          </a:glo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ceelo.org/ceelo-product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8:M28"/>
  <sheetViews>
    <sheetView showGridLines="0" zoomScale="85" zoomScaleNormal="85" zoomScalePageLayoutView="85" workbookViewId="0">
      <selection activeCell="Q12" sqref="Q12"/>
    </sheetView>
  </sheetViews>
  <sheetFormatPr defaultColWidth="8.77734375" defaultRowHeight="14.4" x14ac:dyDescent="0.3"/>
  <sheetData>
    <row r="8" spans="1:13" ht="7.2" customHeight="1" x14ac:dyDescent="0.3"/>
    <row r="9" spans="1:13" x14ac:dyDescent="0.3">
      <c r="A9" t="s">
        <v>1014</v>
      </c>
    </row>
    <row r="10" spans="1:13" ht="28.2" customHeight="1" x14ac:dyDescent="0.3">
      <c r="A10" s="767" t="s">
        <v>1084</v>
      </c>
      <c r="B10" s="767"/>
      <c r="C10" s="767"/>
      <c r="D10" s="767"/>
      <c r="E10" s="767"/>
      <c r="F10" s="767"/>
      <c r="G10" s="767"/>
      <c r="H10" s="767"/>
      <c r="I10" s="767"/>
      <c r="J10" s="767"/>
      <c r="K10" s="767"/>
      <c r="L10" s="767"/>
      <c r="M10" s="767"/>
    </row>
    <row r="11" spans="1:13" ht="12" customHeight="1" x14ac:dyDescent="0.3">
      <c r="A11" s="714"/>
    </row>
    <row r="12" spans="1:13" ht="58.2" customHeight="1" x14ac:dyDescent="0.3">
      <c r="A12" s="766" t="s">
        <v>1013</v>
      </c>
      <c r="B12" s="766"/>
      <c r="C12" s="766"/>
      <c r="D12" s="766"/>
      <c r="E12" s="766"/>
      <c r="F12" s="766"/>
      <c r="G12" s="766"/>
      <c r="H12" s="766"/>
      <c r="I12" s="766"/>
      <c r="J12" s="766"/>
      <c r="K12" s="766"/>
      <c r="L12" s="766"/>
      <c r="M12" s="766"/>
    </row>
    <row r="13" spans="1:13" ht="12" customHeight="1" x14ac:dyDescent="0.3"/>
    <row r="14" spans="1:13" x14ac:dyDescent="0.3">
      <c r="A14" s="715" t="s">
        <v>1010</v>
      </c>
    </row>
    <row r="15" spans="1:13" ht="58.2" customHeight="1" x14ac:dyDescent="0.3">
      <c r="A15" s="768" t="s">
        <v>1011</v>
      </c>
      <c r="B15" s="768"/>
      <c r="C15" s="768"/>
      <c r="D15" s="768"/>
      <c r="E15" s="768"/>
      <c r="F15" s="768"/>
      <c r="G15" s="768"/>
      <c r="H15" s="768"/>
      <c r="I15" s="768"/>
      <c r="J15" s="768"/>
      <c r="K15" s="768"/>
      <c r="L15" s="768"/>
      <c r="M15" s="768"/>
    </row>
    <row r="16" spans="1:13" ht="12.75" customHeight="1" x14ac:dyDescent="0.3">
      <c r="A16" s="716"/>
    </row>
    <row r="17" spans="1:13" x14ac:dyDescent="0.3">
      <c r="A17" s="717" t="s">
        <v>1015</v>
      </c>
    </row>
    <row r="18" spans="1:13" ht="12" customHeight="1" x14ac:dyDescent="0.3">
      <c r="A18" s="717"/>
    </row>
    <row r="19" spans="1:13" ht="14.55" customHeight="1" x14ac:dyDescent="0.3">
      <c r="A19" s="719" t="s">
        <v>1016</v>
      </c>
      <c r="B19" s="719"/>
      <c r="C19" s="719"/>
      <c r="D19" s="719"/>
      <c r="E19" s="719"/>
      <c r="F19" s="719"/>
      <c r="G19" s="719"/>
      <c r="H19" s="719"/>
      <c r="I19" s="719"/>
      <c r="J19" s="719"/>
      <c r="K19" s="719"/>
    </row>
    <row r="20" spans="1:13" x14ac:dyDescent="0.3">
      <c r="A20" s="717"/>
    </row>
    <row r="21" spans="1:13" x14ac:dyDescent="0.3">
      <c r="A21" s="717"/>
    </row>
    <row r="22" spans="1:13" x14ac:dyDescent="0.3">
      <c r="A22" s="717"/>
    </row>
    <row r="23" spans="1:13" ht="13.2" customHeight="1" x14ac:dyDescent="0.3">
      <c r="A23" s="717"/>
    </row>
    <row r="24" spans="1:13" ht="28.8" customHeight="1" x14ac:dyDescent="0.3">
      <c r="A24" s="769" t="s">
        <v>1017</v>
      </c>
      <c r="B24" s="769"/>
      <c r="C24" s="769"/>
      <c r="D24" s="769"/>
      <c r="E24" s="769"/>
      <c r="F24" s="769"/>
      <c r="G24" s="769"/>
      <c r="H24" s="769"/>
      <c r="I24" s="769"/>
      <c r="J24" s="769"/>
      <c r="K24" s="769"/>
      <c r="L24" s="769"/>
      <c r="M24" s="769"/>
    </row>
    <row r="25" spans="1:13" ht="7.8" customHeight="1" x14ac:dyDescent="0.3">
      <c r="A25" s="720"/>
      <c r="B25" s="720"/>
      <c r="C25" s="720"/>
      <c r="D25" s="720"/>
      <c r="E25" s="720"/>
      <c r="F25" s="720"/>
      <c r="G25" s="720"/>
      <c r="H25" s="720"/>
      <c r="I25" s="720"/>
      <c r="J25" s="720"/>
      <c r="K25" s="720"/>
    </row>
    <row r="26" spans="1:13" x14ac:dyDescent="0.3">
      <c r="A26" s="719" t="s">
        <v>1012</v>
      </c>
    </row>
    <row r="28" spans="1:13" ht="15" x14ac:dyDescent="0.3">
      <c r="A28" s="718"/>
    </row>
  </sheetData>
  <sheetProtection password="CF6E" sheet="1" objects="1" scenarios="1" formatCells="0" formatColumns="0" formatRows="0" insertColumns="0" insertRows="0" insertHyperlinks="0" deleteColumns="0" deleteRows="0" sort="0" autoFilter="0" pivotTables="0"/>
  <mergeCells count="4">
    <mergeCell ref="A12:M12"/>
    <mergeCell ref="A10:M10"/>
    <mergeCell ref="A15:M15"/>
    <mergeCell ref="A24:M24"/>
  </mergeCells>
  <hyperlinks>
    <hyperlink ref="A17" r:id="rId1"/>
  </hyperlinks>
  <pageMargins left="0.7" right="0.7" top="0.75" bottom="0.75" header="0.3" footer="0.3"/>
  <pageSetup scale="94" orientation="portrait"/>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9"/>
  <sheetViews>
    <sheetView workbookViewId="0">
      <pane xSplit="3" ySplit="5" topLeftCell="D13" activePane="bottomRight" state="frozen"/>
      <selection pane="topRight" activeCell="D1" sqref="D1"/>
      <selection pane="bottomLeft" activeCell="A6" sqref="A6"/>
      <selection pane="bottomRight" activeCell="E3" sqref="E3:O3"/>
    </sheetView>
  </sheetViews>
  <sheetFormatPr defaultColWidth="8.77734375" defaultRowHeight="14.4"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5" t="str">
        <f>'B. Implementation Plan'!E3:O3</f>
        <v>Kentucky Preschool Program - Intermediate</v>
      </c>
      <c r="F3" s="776"/>
      <c r="G3" s="776"/>
      <c r="H3" s="776"/>
      <c r="I3" s="776"/>
      <c r="J3" s="776"/>
      <c r="K3" s="776"/>
      <c r="L3" s="776"/>
      <c r="M3" s="776"/>
      <c r="N3" s="776"/>
      <c r="O3" s="776"/>
      <c r="P3" s="538" t="str">
        <f>'B. Implementation Plan'!P3</f>
        <v>Kentucky Preschool Program - Intermediate</v>
      </c>
    </row>
    <row r="4" spans="1:16" s="31" customFormat="1" ht="18" x14ac:dyDescent="0.35">
      <c r="C4" s="32" t="s">
        <v>432</v>
      </c>
      <c r="D4"/>
      <c r="E4" s="775" t="str">
        <f>'B. Implementation Plan'!E4:O4</f>
        <v>na</v>
      </c>
      <c r="F4" s="776"/>
      <c r="G4" s="776"/>
      <c r="H4" s="776"/>
      <c r="I4" s="776"/>
      <c r="J4" s="776"/>
      <c r="K4" s="776"/>
      <c r="L4" s="776"/>
      <c r="M4" s="776"/>
      <c r="N4" s="776"/>
      <c r="O4" s="776"/>
      <c r="P4" s="539" t="str">
        <f>'B. Implementation Plan'!P4</f>
        <v>na</v>
      </c>
    </row>
    <row r="5" spans="1:16" s="31" customFormat="1" ht="18.600000000000001" thickBot="1" x14ac:dyDescent="0.4">
      <c r="C5" s="32" t="s">
        <v>17</v>
      </c>
      <c r="D5"/>
      <c r="E5" s="775" t="str">
        <f>'B. Implementation Plan'!E5:O5</f>
        <v>Kentucky, KY</v>
      </c>
      <c r="F5" s="776"/>
      <c r="G5" s="776"/>
      <c r="H5" s="776"/>
      <c r="I5" s="776"/>
      <c r="J5" s="776"/>
      <c r="K5" s="776"/>
      <c r="L5" s="776"/>
      <c r="M5" s="776"/>
      <c r="N5" s="776"/>
      <c r="O5" s="776"/>
      <c r="P5" s="540" t="str">
        <f>'B. Implementation Plan'!P5</f>
        <v>Kentucky, KY</v>
      </c>
    </row>
    <row r="7" spans="1:16" ht="14.55" customHeight="1" x14ac:dyDescent="0.35">
      <c r="A7" s="274" t="s">
        <v>347</v>
      </c>
      <c r="B7" s="1"/>
    </row>
    <row r="8" spans="1:16" ht="14.55" customHeight="1" thickBot="1" x14ac:dyDescent="0.4">
      <c r="A8" s="274"/>
      <c r="B8" s="1"/>
      <c r="E8" s="242"/>
      <c r="F8" s="243"/>
      <c r="G8" s="243"/>
      <c r="H8" s="243"/>
      <c r="I8" s="243"/>
      <c r="J8" s="242" t="s">
        <v>59</v>
      </c>
      <c r="K8" s="243"/>
      <c r="L8" s="243"/>
      <c r="M8" s="243"/>
      <c r="N8" s="243"/>
      <c r="O8" s="244"/>
    </row>
    <row r="9" spans="1:16" ht="14.55" customHeight="1" x14ac:dyDescent="0.3">
      <c r="A9" s="1"/>
      <c r="B9" s="1"/>
      <c r="E9" s="294">
        <v>0</v>
      </c>
      <c r="F9" s="294">
        <v>1</v>
      </c>
      <c r="G9" s="294">
        <v>2</v>
      </c>
      <c r="H9" s="294">
        <v>3</v>
      </c>
      <c r="I9" s="294">
        <v>4</v>
      </c>
      <c r="J9" s="294">
        <v>5</v>
      </c>
      <c r="K9" s="294">
        <v>6</v>
      </c>
      <c r="L9" s="294">
        <v>7</v>
      </c>
      <c r="M9" s="294">
        <v>8</v>
      </c>
      <c r="N9" s="294">
        <v>9</v>
      </c>
      <c r="O9" s="295">
        <v>10</v>
      </c>
      <c r="P9" s="245" t="s">
        <v>2</v>
      </c>
    </row>
    <row r="10" spans="1:16" s="67" customFormat="1" ht="15.45" customHeight="1" x14ac:dyDescent="0.3">
      <c r="A10" s="301" t="s">
        <v>628</v>
      </c>
      <c r="B10" s="302"/>
      <c r="C10" s="297"/>
      <c r="D10" s="65"/>
      <c r="E10" s="514">
        <f ca="1">IF('E. State-Level Infrastr&amp;Support'!E37&gt;0,'E. State-Level Infrastr&amp;Support'!E37,"")</f>
        <v>3493786.8421052634</v>
      </c>
      <c r="F10" s="514">
        <f ca="1">IF('E. State-Level Infrastr&amp;Support'!F37&gt;0,'E. State-Level Infrastr&amp;Support'!F37,"")</f>
        <v>3972068.3157894732</v>
      </c>
      <c r="G10" s="514">
        <f ca="1">IF('E. State-Level Infrastr&amp;Support'!G37&gt;0,'E. State-Level Infrastr&amp;Support'!G37,"")</f>
        <v>4582179.887831579</v>
      </c>
      <c r="H10" s="514">
        <f ca="1">IF('E. State-Level Infrastr&amp;Support'!H37&gt;0,'E. State-Level Infrastr&amp;Support'!H37,"")</f>
        <v>4437672.9035014734</v>
      </c>
      <c r="I10" s="514">
        <f ca="1">IF('E. State-Level Infrastr&amp;Support'!I37&gt;0,'E. State-Level Infrastr&amp;Support'!I37,"")</f>
        <v>4692398.4935426544</v>
      </c>
      <c r="J10" s="514">
        <f ca="1">IF('E. State-Level Infrastr&amp;Support'!J37&gt;0,'E. State-Level Infrastr&amp;Support'!J37,"")</f>
        <v>4832294.8858585767</v>
      </c>
      <c r="K10" s="514">
        <f ca="1">IF('E. State-Level Infrastr&amp;Support'!K37&gt;0,'E. State-Level Infrastr&amp;Support'!K37,"")</f>
        <v>4986720.4840489123</v>
      </c>
      <c r="L10" s="514">
        <f ca="1">IF('E. State-Level Infrastr&amp;Support'!L37&gt;0,'E. State-Level Infrastr&amp;Support'!L37,"")</f>
        <v>5139451.3911275081</v>
      </c>
      <c r="M10" s="514">
        <f ca="1">IF('E. State-Level Infrastr&amp;Support'!M37&gt;0,'E. State-Level Infrastr&amp;Support'!M37,"")</f>
        <v>5296391.1946684495</v>
      </c>
      <c r="N10" s="514">
        <f ca="1">IF('E. State-Level Infrastr&amp;Support'!N37&gt;0,'E. State-Level Infrastr&amp;Support'!N37,"")</f>
        <v>5327195.0937538398</v>
      </c>
      <c r="O10" s="589">
        <f ca="1">IF('E. State-Level Infrastr&amp;Support'!O37&gt;0,'E. State-Level Infrastr&amp;Support'!O37,"")</f>
        <v>5615531.423380808</v>
      </c>
      <c r="P10" s="419">
        <f ca="1">SUM(E10:O10)</f>
        <v>52375690.91560854</v>
      </c>
    </row>
    <row r="11" spans="1:16" s="67" customFormat="1" ht="15.45" customHeight="1" x14ac:dyDescent="0.3">
      <c r="A11" s="301" t="s">
        <v>629</v>
      </c>
      <c r="B11" s="302"/>
      <c r="C11" s="297"/>
      <c r="D11" s="65"/>
      <c r="E11" s="513">
        <f ca="1">IF('F. Provider-Level Services'!E121+'F. Provider-Level Services'!E285+'F. Provider-Level Services'!E449=0,"",'F. Provider-Level Services'!E121+'F. Provider-Level Services'!E285+'F. Provider-Level Services'!E449)</f>
        <v>117393234.20471108</v>
      </c>
      <c r="F11" s="513">
        <f ca="1">IF('F. Provider-Level Services'!F121+'F. Provider-Level Services'!F285+'F. Provider-Level Services'!F449=0,"",'F. Provider-Level Services'!F121+'F. Provider-Level Services'!F285+'F. Provider-Level Services'!F449)</f>
        <v>122082638.41577494</v>
      </c>
      <c r="G11" s="513">
        <f ca="1">IF('F. Provider-Level Services'!G121+'F. Provider-Level Services'!G285+'F. Provider-Level Services'!G449=0,"",'F. Provider-Level Services'!G121+'F. Provider-Level Services'!G285+'F. Provider-Level Services'!G449)</f>
        <v>126914998.13514839</v>
      </c>
      <c r="H11" s="513">
        <f ca="1">IF('F. Provider-Level Services'!H121+'F. Provider-Level Services'!H285+'F. Provider-Level Services'!H449=0,"",'F. Provider-Level Services'!H121+'F. Provider-Level Services'!H285+'F. Provider-Level Services'!H449)</f>
        <v>131696137.83126038</v>
      </c>
      <c r="I11" s="513">
        <f ca="1">IF('F. Provider-Level Services'!I121+'F. Provider-Level Services'!I285+'F. Provider-Level Services'!I449=0,"",'F. Provider-Level Services'!I121+'F. Provider-Level Services'!I285+'F. Provider-Level Services'!I449)</f>
        <v>136777984.42706999</v>
      </c>
      <c r="J11" s="513">
        <f ca="1">IF('F. Provider-Level Services'!J121+'F. Provider-Level Services'!J285+'F. Provider-Level Services'!J449=0,"",'F. Provider-Level Services'!J121+'F. Provider-Level Services'!J285+'F. Provider-Level Services'!J449)</f>
        <v>141963752.7797102</v>
      </c>
      <c r="K11" s="513">
        <f ca="1">IF('F. Provider-Level Services'!K121+'F. Provider-Level Services'!K285+'F. Provider-Level Services'!K449=0,"",'F. Provider-Level Services'!K121+'F. Provider-Level Services'!K285+'F. Provider-Level Services'!K449)</f>
        <v>147240503.91677395</v>
      </c>
      <c r="L11" s="513">
        <f ca="1">IF('F. Provider-Level Services'!L121+'F. Provider-Level Services'!L285+'F. Provider-Level Services'!L449=0,"",'F. Provider-Level Services'!L121+'F. Provider-Level Services'!L285+'F. Provider-Level Services'!L449)</f>
        <v>152675678.54778019</v>
      </c>
      <c r="M11" s="513">
        <f ca="1">IF('F. Provider-Level Services'!M121+'F. Provider-Level Services'!M285+'F. Provider-Level Services'!M449=0,"",'F. Provider-Level Services'!M121+'F. Provider-Level Services'!M285+'F. Provider-Level Services'!M449)</f>
        <v>158258407.07272124</v>
      </c>
      <c r="N11" s="513">
        <f ca="1">IF('F. Provider-Level Services'!N121+'F. Provider-Level Services'!N285+'F. Provider-Level Services'!N449=0,"",'F. Provider-Level Services'!N121+'F. Provider-Level Services'!N285+'F. Provider-Level Services'!N449)</f>
        <v>163775508.51624024</v>
      </c>
      <c r="O11" s="513">
        <f ca="1">IF('F. Provider-Level Services'!O121+'F. Provider-Level Services'!O285+'F. Provider-Level Services'!O449=0,"",'F. Provider-Level Services'!O121+'F. Provider-Level Services'!O285+'F. Provider-Level Services'!O449)</f>
        <v>169604616.34616196</v>
      </c>
      <c r="P11" s="419">
        <f ca="1">SUM(E11:O11)</f>
        <v>1568383460.1933522</v>
      </c>
    </row>
    <row r="12" spans="1:16" s="67" customFormat="1" ht="15.45" customHeight="1" x14ac:dyDescent="0.3">
      <c r="A12" s="298" t="s">
        <v>840</v>
      </c>
      <c r="B12" s="303"/>
      <c r="C12" s="297"/>
      <c r="D12" s="65"/>
      <c r="E12" s="515">
        <f ca="1">IFERROR(IF(AND(E10="",E11=""),"",IF(E10="",0,E10)+IF(E11="",0,E11)),"")</f>
        <v>120887021.04681635</v>
      </c>
      <c r="F12" s="515">
        <f t="shared" ref="F12:O12" ca="1" si="0">IFERROR(IF(AND(F10="",F11=""),"",IF(F10="",0,F10)+IF(F11="",0,F11)),"")</f>
        <v>126054706.73156442</v>
      </c>
      <c r="G12" s="515">
        <f t="shared" ca="1" si="0"/>
        <v>131497178.02297997</v>
      </c>
      <c r="H12" s="515">
        <f t="shared" ca="1" si="0"/>
        <v>136133810.73476186</v>
      </c>
      <c r="I12" s="515">
        <f t="shared" ca="1" si="0"/>
        <v>141470382.92061263</v>
      </c>
      <c r="J12" s="515">
        <f t="shared" ca="1" si="0"/>
        <v>146796047.66556877</v>
      </c>
      <c r="K12" s="515">
        <f t="shared" ca="1" si="0"/>
        <v>152227224.40082285</v>
      </c>
      <c r="L12" s="515">
        <f t="shared" ca="1" si="0"/>
        <v>157815129.93890768</v>
      </c>
      <c r="M12" s="515">
        <f t="shared" ca="1" si="0"/>
        <v>163554798.26738968</v>
      </c>
      <c r="N12" s="515">
        <f t="shared" ca="1" si="0"/>
        <v>169102703.60999408</v>
      </c>
      <c r="O12" s="515">
        <f t="shared" ca="1" si="0"/>
        <v>175220147.76954278</v>
      </c>
      <c r="P12" s="419">
        <f ca="1">SUM(E12:O12)</f>
        <v>1620759151.1089611</v>
      </c>
    </row>
    <row r="13" spans="1:16" s="67" customFormat="1" ht="15.45" customHeight="1" x14ac:dyDescent="0.3">
      <c r="A13" s="592" t="s">
        <v>839</v>
      </c>
      <c r="B13" s="594"/>
      <c r="C13" s="297"/>
      <c r="D13" s="65"/>
      <c r="E13" s="514">
        <f ca="1">IF(E12="","",'B. Implementation Plan'!E70)</f>
        <v>90000000</v>
      </c>
      <c r="F13" s="514">
        <f ca="1">IF(F12="","",'B. Implementation Plan'!F70)</f>
        <v>90000000</v>
      </c>
      <c r="G13" s="514">
        <f ca="1">IF(G12="","",'B. Implementation Plan'!G70)</f>
        <v>90000000</v>
      </c>
      <c r="H13" s="514">
        <f ca="1">IF(H12="","",'B. Implementation Plan'!H70)</f>
        <v>90000000</v>
      </c>
      <c r="I13" s="514">
        <f ca="1">IF(I12="","",'B. Implementation Plan'!I70)</f>
        <v>90000000</v>
      </c>
      <c r="J13" s="514">
        <f ca="1">IF(J12="","",'B. Implementation Plan'!J70)</f>
        <v>90000000</v>
      </c>
      <c r="K13" s="514">
        <f ca="1">IF(K12="","",'B. Implementation Plan'!K70)</f>
        <v>90000000</v>
      </c>
      <c r="L13" s="514">
        <f ca="1">IF(L12="","",'B. Implementation Plan'!L70)</f>
        <v>90000000</v>
      </c>
      <c r="M13" s="514">
        <f ca="1">IF(M12="","",'B. Implementation Plan'!M70)</f>
        <v>90000000</v>
      </c>
      <c r="N13" s="514">
        <f ca="1">IF(N12="","",'B. Implementation Plan'!N70)</f>
        <v>90000000</v>
      </c>
      <c r="O13" s="514">
        <f ca="1">IF(O12="","",'B. Implementation Plan'!O70)</f>
        <v>90000000</v>
      </c>
      <c r="P13" s="596">
        <f ca="1">SUM(E13:O13)</f>
        <v>990000000</v>
      </c>
    </row>
    <row r="14" spans="1:16" s="67" customFormat="1" ht="15.45" customHeight="1" x14ac:dyDescent="0.3">
      <c r="A14" s="298" t="s">
        <v>841</v>
      </c>
      <c r="B14" s="302"/>
      <c r="C14" s="297"/>
      <c r="D14" s="65"/>
      <c r="E14" s="597">
        <f ca="1">IF(E12="","",E13-E12)</f>
        <v>-30887021.046816349</v>
      </c>
      <c r="F14" s="597">
        <f t="shared" ref="F14:O14" ca="1" si="1">IF(F12="","",F13-F12)</f>
        <v>-36054706.731564417</v>
      </c>
      <c r="G14" s="597">
        <f t="shared" ca="1" si="1"/>
        <v>-41497178.022979975</v>
      </c>
      <c r="H14" s="597">
        <f t="shared" ca="1" si="1"/>
        <v>-46133810.734761864</v>
      </c>
      <c r="I14" s="597">
        <f t="shared" ca="1" si="1"/>
        <v>-51470382.920612633</v>
      </c>
      <c r="J14" s="597">
        <f t="shared" ca="1" si="1"/>
        <v>-56796047.665568769</v>
      </c>
      <c r="K14" s="597">
        <f t="shared" ca="1" si="1"/>
        <v>-62227224.400822848</v>
      </c>
      <c r="L14" s="597">
        <f t="shared" ca="1" si="1"/>
        <v>-67815129.938907683</v>
      </c>
      <c r="M14" s="597">
        <f t="shared" ca="1" si="1"/>
        <v>-73554798.267389685</v>
      </c>
      <c r="N14" s="597">
        <f t="shared" ca="1" si="1"/>
        <v>-79102703.609994084</v>
      </c>
      <c r="O14" s="597">
        <f t="shared" ca="1" si="1"/>
        <v>-85220147.769542783</v>
      </c>
      <c r="P14" s="598">
        <f ca="1">SUM(E14:O14)</f>
        <v>-630759151.10896111</v>
      </c>
    </row>
    <row r="15" spans="1:16" ht="14.55" customHeight="1" x14ac:dyDescent="0.3">
      <c r="A15" s="301" t="s">
        <v>631</v>
      </c>
      <c r="B15" s="302"/>
      <c r="C15" s="299"/>
      <c r="E15" s="518">
        <f ca="1">IF('D. Annual Schedule Tables'!E21&gt;0,'D. Annual Schedule Tables'!E21,"")</f>
        <v>18500</v>
      </c>
      <c r="F15" s="518">
        <f ca="1">IF('D. Annual Schedule Tables'!F21&gt;0,'D. Annual Schedule Tables'!F21,"")</f>
        <v>19000</v>
      </c>
      <c r="G15" s="518">
        <f ca="1">IF('D. Annual Schedule Tables'!G21&gt;0,'D. Annual Schedule Tables'!G21,"")</f>
        <v>19500</v>
      </c>
      <c r="H15" s="518">
        <f ca="1">IF('D. Annual Schedule Tables'!H21&gt;0,'D. Annual Schedule Tables'!H21,"")</f>
        <v>20000</v>
      </c>
      <c r="I15" s="518">
        <f ca="1">IF('D. Annual Schedule Tables'!I21&gt;0,'D. Annual Schedule Tables'!I21,"")</f>
        <v>20500</v>
      </c>
      <c r="J15" s="518">
        <f ca="1">IF('D. Annual Schedule Tables'!J21&gt;0,'D. Annual Schedule Tables'!J21,"")</f>
        <v>21000</v>
      </c>
      <c r="K15" s="518">
        <f ca="1">IF('D. Annual Schedule Tables'!K21&gt;0,'D. Annual Schedule Tables'!K21,"")</f>
        <v>21500</v>
      </c>
      <c r="L15" s="518">
        <f ca="1">IF('D. Annual Schedule Tables'!L21&gt;0,'D. Annual Schedule Tables'!L21,"")</f>
        <v>22000</v>
      </c>
      <c r="M15" s="518">
        <f ca="1">IF('D. Annual Schedule Tables'!M21&gt;0,'D. Annual Schedule Tables'!M21,"")</f>
        <v>22500</v>
      </c>
      <c r="N15" s="518">
        <f ca="1">IF('D. Annual Schedule Tables'!N21&gt;0,'D. Annual Schedule Tables'!N21,"")</f>
        <v>23000</v>
      </c>
      <c r="O15" s="523">
        <f ca="1">IF('D. Annual Schedule Tables'!O21&gt;0,'D. Annual Schedule Tables'!O21,"")</f>
        <v>23500</v>
      </c>
      <c r="P15" s="526">
        <f ca="1">IF(ISNA(INDEX(E15:O15,MATCH(9.99999999999999E+307,E15:O15))),"",INDEX(E15:O15,MATCH(9.99999999999999E+307,E15:O15)))</f>
        <v>23500</v>
      </c>
    </row>
    <row r="16" spans="1:16" ht="14.55" customHeight="1" x14ac:dyDescent="0.3">
      <c r="A16" s="301" t="s">
        <v>104</v>
      </c>
      <c r="B16" s="302"/>
      <c r="C16" s="299"/>
      <c r="E16" s="518">
        <f ca="1">IF('D. Annual Schedule Tables'!E22&gt;0,'D. Annual Schedule Tables'!E22,"")</f>
        <v>650</v>
      </c>
      <c r="F16" s="518">
        <f ca="1">IF('D. Annual Schedule Tables'!F22&gt;0,'D. Annual Schedule Tables'!F22,"")</f>
        <v>650</v>
      </c>
      <c r="G16" s="518">
        <f ca="1">IF('D. Annual Schedule Tables'!G22&gt;0,'D. Annual Schedule Tables'!G22,"")</f>
        <v>650</v>
      </c>
      <c r="H16" s="518">
        <f ca="1">IF('D. Annual Schedule Tables'!H22&gt;0,'D. Annual Schedule Tables'!H22,"")</f>
        <v>650</v>
      </c>
      <c r="I16" s="518">
        <f ca="1">IF('D. Annual Schedule Tables'!I22&gt;0,'D. Annual Schedule Tables'!I22,"")</f>
        <v>650</v>
      </c>
      <c r="J16" s="518">
        <f ca="1">IF('D. Annual Schedule Tables'!J22&gt;0,'D. Annual Schedule Tables'!J22,"")</f>
        <v>650</v>
      </c>
      <c r="K16" s="518">
        <f ca="1">IF('D. Annual Schedule Tables'!K22&gt;0,'D. Annual Schedule Tables'!K22,"")</f>
        <v>650</v>
      </c>
      <c r="L16" s="518">
        <f ca="1">IF('D. Annual Schedule Tables'!L22&gt;0,'D. Annual Schedule Tables'!L22,"")</f>
        <v>650</v>
      </c>
      <c r="M16" s="518">
        <f ca="1">IF('D. Annual Schedule Tables'!M22&gt;0,'D. Annual Schedule Tables'!M22,"")</f>
        <v>650</v>
      </c>
      <c r="N16" s="518">
        <f ca="1">IF('D. Annual Schedule Tables'!N22&gt;0,'D. Annual Schedule Tables'!N22,"")</f>
        <v>650</v>
      </c>
      <c r="O16" s="523">
        <f ca="1">IF('D. Annual Schedule Tables'!O22&gt;0,'D. Annual Schedule Tables'!O22,"")</f>
        <v>650</v>
      </c>
      <c r="P16" s="526">
        <f ca="1">IF(ISNA(INDEX(E16:O16,MATCH(9.99999999999999E+307,E16:O16))),"",INDEX(E16:O16,MATCH(9.99999999999999E+307,E16:O16)))</f>
        <v>650</v>
      </c>
    </row>
    <row r="17" spans="1:16" s="67" customFormat="1" ht="15.45" customHeight="1" x14ac:dyDescent="0.3">
      <c r="A17" s="301" t="s">
        <v>105</v>
      </c>
      <c r="B17" s="302"/>
      <c r="C17" s="297"/>
      <c r="D17" s="65"/>
      <c r="E17" s="518" t="str">
        <f ca="1">IF('D. Annual Schedule Tables'!E23&gt;0,'D. Annual Schedule Tables'!E23,"")</f>
        <v/>
      </c>
      <c r="F17" s="518" t="str">
        <f ca="1">IF('D. Annual Schedule Tables'!F23&gt;0,'D. Annual Schedule Tables'!F23,"")</f>
        <v/>
      </c>
      <c r="G17" s="518" t="str">
        <f ca="1">IF('D. Annual Schedule Tables'!G23&gt;0,'D. Annual Schedule Tables'!G23,"")</f>
        <v/>
      </c>
      <c r="H17" s="518" t="str">
        <f ca="1">IF('D. Annual Schedule Tables'!H23&gt;0,'D. Annual Schedule Tables'!H23,"")</f>
        <v/>
      </c>
      <c r="I17" s="518" t="str">
        <f ca="1">IF('D. Annual Schedule Tables'!I23&gt;0,'D. Annual Schedule Tables'!I23,"")</f>
        <v/>
      </c>
      <c r="J17" s="518" t="str">
        <f ca="1">IF('D. Annual Schedule Tables'!J23&gt;0,'D. Annual Schedule Tables'!J23,"")</f>
        <v/>
      </c>
      <c r="K17" s="518" t="str">
        <f ca="1">IF('D. Annual Schedule Tables'!K23&gt;0,'D. Annual Schedule Tables'!K23,"")</f>
        <v/>
      </c>
      <c r="L17" s="518" t="str">
        <f ca="1">IF('D. Annual Schedule Tables'!L23&gt;0,'D. Annual Schedule Tables'!L23,"")</f>
        <v/>
      </c>
      <c r="M17" s="518" t="str">
        <f ca="1">IF('D. Annual Schedule Tables'!M23&gt;0,'D. Annual Schedule Tables'!M23,"")</f>
        <v/>
      </c>
      <c r="N17" s="518" t="str">
        <f ca="1">IF('D. Annual Schedule Tables'!N23&gt;0,'D. Annual Schedule Tables'!N23,"")</f>
        <v/>
      </c>
      <c r="O17" s="523" t="str">
        <f ca="1">IF('D. Annual Schedule Tables'!O23&gt;0,'D. Annual Schedule Tables'!O23,"")</f>
        <v/>
      </c>
      <c r="P17" s="526" t="str">
        <f t="shared" ref="P17:P32" ca="1" si="2">IF(ISNA(INDEX(E17:O17,MATCH(9.99999999999999E+307,E17:O17))),"",INDEX(E17:O17,MATCH(9.99999999999999E+307,E17:O17)))</f>
        <v/>
      </c>
    </row>
    <row r="18" spans="1:16" ht="14.55" customHeight="1" x14ac:dyDescent="0.3">
      <c r="A18" s="298" t="s">
        <v>353</v>
      </c>
      <c r="B18" s="303"/>
      <c r="C18" s="299"/>
      <c r="D18" s="296"/>
      <c r="E18" s="519">
        <f ca="1">IF('D. Annual Schedule Tables'!E20&gt;0,'D. Annual Schedule Tables'!E20,"")</f>
        <v>19150</v>
      </c>
      <c r="F18" s="519">
        <f ca="1">IF('D. Annual Schedule Tables'!F20&gt;0,'D. Annual Schedule Tables'!F20,"")</f>
        <v>19650</v>
      </c>
      <c r="G18" s="519">
        <f ca="1">IF('D. Annual Schedule Tables'!G20&gt;0,'D. Annual Schedule Tables'!G20,"")</f>
        <v>20150</v>
      </c>
      <c r="H18" s="519">
        <f ca="1">IF('D. Annual Schedule Tables'!H20&gt;0,'D. Annual Schedule Tables'!H20,"")</f>
        <v>20650</v>
      </c>
      <c r="I18" s="519">
        <f ca="1">IF('D. Annual Schedule Tables'!I20&gt;0,'D. Annual Schedule Tables'!I20,"")</f>
        <v>21150</v>
      </c>
      <c r="J18" s="519">
        <f ca="1">IF('D. Annual Schedule Tables'!J20&gt;0,'D. Annual Schedule Tables'!J20,"")</f>
        <v>21650</v>
      </c>
      <c r="K18" s="519">
        <f ca="1">IF('D. Annual Schedule Tables'!K20&gt;0,'D. Annual Schedule Tables'!K20,"")</f>
        <v>22150</v>
      </c>
      <c r="L18" s="519">
        <f ca="1">IF('D. Annual Schedule Tables'!L20&gt;0,'D. Annual Schedule Tables'!L20,"")</f>
        <v>22650</v>
      </c>
      <c r="M18" s="519">
        <f ca="1">IF('D. Annual Schedule Tables'!M20&gt;0,'D. Annual Schedule Tables'!M20,"")</f>
        <v>23150</v>
      </c>
      <c r="N18" s="519">
        <f ca="1">IF('D. Annual Schedule Tables'!N20&gt;0,'D. Annual Schedule Tables'!N20,"")</f>
        <v>23650</v>
      </c>
      <c r="O18" s="524">
        <f ca="1">IF('D. Annual Schedule Tables'!O20&gt;0,'D. Annual Schedule Tables'!O20,"")</f>
        <v>24150</v>
      </c>
      <c r="P18" s="527">
        <f t="shared" ca="1" si="2"/>
        <v>24150</v>
      </c>
    </row>
    <row r="19" spans="1:16" s="1" customFormat="1" ht="14.55" customHeight="1" x14ac:dyDescent="0.3">
      <c r="A19" s="300" t="s">
        <v>842</v>
      </c>
      <c r="B19" s="304"/>
      <c r="C19" s="548"/>
      <c r="D19" s="549"/>
      <c r="E19" s="571">
        <f ca="1">IF(E18="","",E18/(VLOOKUP(P5,'C. Demographic Tables'!$B$8:$M$58,HLOOKUP(E9,'C.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0.39152865552334737</v>
      </c>
      <c r="F19" s="571">
        <f ca="1">IF(F18="","",F18/(VLOOKUP(P5,'C. Demographic Tables'!$B$8:$M$58,HLOOKUP(F9,'C.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0.40550973136917329</v>
      </c>
      <c r="G19" s="571">
        <f ca="1">IF(G18="","",G18/(VLOOKUP(P5,'C. Demographic Tables'!$B$8:$M$58,HLOOKUP(G9,'C.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0.41971964989209387</v>
      </c>
      <c r="H19" s="571">
        <f ca="1">IF(H18="","",H18/(VLOOKUP(P5,'C. Demographic Tables'!$B$8:$M$58,HLOOKUP(H9,'C.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0.43415720160009874</v>
      </c>
      <c r="I19" s="571">
        <f ca="1">IF(I18="","",I18/(VLOOKUP(P5,'C. Demographic Tables'!$B$8:$M$58,HLOOKUP(I9,'C.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0.44882898185309122</v>
      </c>
      <c r="J19" s="571">
        <f ca="1">IF(J18="","",J18/(VLOOKUP(P5,'C. Demographic Tables'!$B$8:$M$58,HLOOKUP(J9,'C.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0.46373782800821106</v>
      </c>
      <c r="K19" s="571">
        <f ca="1">IF(K18="","",K18/(VLOOKUP(P5,'C. Demographic Tables'!$B$8:$M$58,HLOOKUP(K9,'C.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0.47888656123184353</v>
      </c>
      <c r="L19" s="571">
        <f ca="1">IF(L18="","",L18/(VLOOKUP(P5,'C. Demographic Tables'!$B$8:$M$58,HLOOKUP(L9,'C.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0.49427798324848771</v>
      </c>
      <c r="M19" s="571">
        <f ca="1">IF(M18="","",M18/(VLOOKUP(P5,'C. Demographic Tables'!$B$8:$M$58,HLOOKUP(M9,'C.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0.50991487292869875</v>
      </c>
      <c r="N19" s="571">
        <f ca="1">IF(N18="","",N18/(VLOOKUP(P5,'C. Demographic Tables'!$B$8:$M$58,HLOOKUP(N9,'C.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0.52579998271168005</v>
      </c>
      <c r="O19" s="571">
        <f ca="1">IF(O18="","",O18/(VLOOKUP(P5,'C. Demographic Tables'!$B$8:$M$58,HLOOKUP(O9,'C.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0.54194147713049878</v>
      </c>
      <c r="P19" s="569">
        <f t="shared" ca="1" si="2"/>
        <v>0.54194147713049878</v>
      </c>
    </row>
    <row r="20" spans="1:16" ht="14.55" hidden="1" customHeight="1" x14ac:dyDescent="0.3">
      <c r="A20" s="301" t="s">
        <v>632</v>
      </c>
      <c r="B20" s="302"/>
      <c r="C20" s="299"/>
      <c r="D20" s="296"/>
      <c r="E20" s="550" t="str">
        <f ca="1">IF('D. Annual Schedule Tables'!E134&gt;0,'D. Annual Schedule Tables'!E134,"")</f>
        <v/>
      </c>
      <c r="F20" s="550" t="str">
        <f ca="1">IF('D. Annual Schedule Tables'!F134&gt;0,'D. Annual Schedule Tables'!F134,"")</f>
        <v/>
      </c>
      <c r="G20" s="550" t="str">
        <f ca="1">IF('D. Annual Schedule Tables'!G134&gt;0,'D. Annual Schedule Tables'!G134,"")</f>
        <v/>
      </c>
      <c r="H20" s="550" t="str">
        <f ca="1">IF('D. Annual Schedule Tables'!H134&gt;0,'D. Annual Schedule Tables'!H134,"")</f>
        <v/>
      </c>
      <c r="I20" s="550" t="str">
        <f ca="1">IF('D. Annual Schedule Tables'!I134&gt;0,'D. Annual Schedule Tables'!I134,"")</f>
        <v/>
      </c>
      <c r="J20" s="550" t="str">
        <f ca="1">IF('D. Annual Schedule Tables'!J134&gt;0,'D. Annual Schedule Tables'!J134,"")</f>
        <v/>
      </c>
      <c r="K20" s="550" t="str">
        <f ca="1">IF('D. Annual Schedule Tables'!K134&gt;0,'D. Annual Schedule Tables'!K134,"")</f>
        <v/>
      </c>
      <c r="L20" s="550" t="str">
        <f ca="1">IF('D. Annual Schedule Tables'!L134&gt;0,'D. Annual Schedule Tables'!L134,"")</f>
        <v/>
      </c>
      <c r="M20" s="550" t="str">
        <f ca="1">IF('D. Annual Schedule Tables'!M134&gt;0,'D. Annual Schedule Tables'!M134,"")</f>
        <v/>
      </c>
      <c r="N20" s="550" t="str">
        <f ca="1">IF('D. Annual Schedule Tables'!N134&gt;0,'D. Annual Schedule Tables'!N134,"")</f>
        <v/>
      </c>
      <c r="O20" s="551" t="str">
        <f ca="1">IF('D. Annual Schedule Tables'!O134&gt;0,'D. Annual Schedule Tables'!O134,"")</f>
        <v/>
      </c>
      <c r="P20" s="552" t="str">
        <f t="shared" ca="1" si="2"/>
        <v/>
      </c>
    </row>
    <row r="21" spans="1:16" ht="14.55" hidden="1" customHeight="1" x14ac:dyDescent="0.3">
      <c r="A21" s="301" t="s">
        <v>809</v>
      </c>
      <c r="B21" s="302"/>
      <c r="C21" s="299"/>
      <c r="D21" s="296"/>
      <c r="E21" s="550">
        <f ca="1">IF('D. Annual Schedule Tables'!E135&gt;0,'D. Annual Schedule Tables'!E135,"")</f>
        <v>310</v>
      </c>
      <c r="F21" s="550">
        <f ca="1">IF('D. Annual Schedule Tables'!F135&gt;0,'D. Annual Schedule Tables'!F135,"")</f>
        <v>318</v>
      </c>
      <c r="G21" s="550">
        <f ca="1">IF('D. Annual Schedule Tables'!G135&gt;0,'D. Annual Schedule Tables'!G135,"")</f>
        <v>326</v>
      </c>
      <c r="H21" s="550">
        <f ca="1">IF('D. Annual Schedule Tables'!H135&gt;0,'D. Annual Schedule Tables'!H135,"")</f>
        <v>333</v>
      </c>
      <c r="I21" s="550">
        <f ca="1">IF('D. Annual Schedule Tables'!I135&gt;0,'D. Annual Schedule Tables'!I135,"")</f>
        <v>341</v>
      </c>
      <c r="J21" s="550">
        <f ca="1">IF('D. Annual Schedule Tables'!J135&gt;0,'D. Annual Schedule Tables'!J135,"")</f>
        <v>349</v>
      </c>
      <c r="K21" s="550">
        <f ca="1">IF('D. Annual Schedule Tables'!K135&gt;0,'D. Annual Schedule Tables'!K135,"")</f>
        <v>357</v>
      </c>
      <c r="L21" s="550">
        <f ca="1">IF('D. Annual Schedule Tables'!L135&gt;0,'D. Annual Schedule Tables'!L135,"")</f>
        <v>365</v>
      </c>
      <c r="M21" s="550">
        <f ca="1">IF('D. Annual Schedule Tables'!M135&gt;0,'D. Annual Schedule Tables'!M135,"")</f>
        <v>373</v>
      </c>
      <c r="N21" s="550">
        <f ca="1">IF('D. Annual Schedule Tables'!N135&gt;0,'D. Annual Schedule Tables'!N135,"")</f>
        <v>380</v>
      </c>
      <c r="O21" s="551">
        <f ca="1">IF('D. Annual Schedule Tables'!O135&gt;0,'D. Annual Schedule Tables'!O135,"")</f>
        <v>388</v>
      </c>
      <c r="P21" s="552">
        <f t="shared" ca="1" si="2"/>
        <v>388</v>
      </c>
    </row>
    <row r="22" spans="1:16" ht="14.55" hidden="1" customHeight="1" x14ac:dyDescent="0.3">
      <c r="A22" s="301" t="s">
        <v>633</v>
      </c>
      <c r="B22" s="302"/>
      <c r="C22" s="299"/>
      <c r="D22" s="296"/>
      <c r="E22" s="550" t="str">
        <f ca="1">IF('D. Annual Schedule Tables'!E136&gt;0,'D. Annual Schedule Tables'!E136,"")</f>
        <v/>
      </c>
      <c r="F22" s="550" t="str">
        <f ca="1">IF('D. Annual Schedule Tables'!F136&gt;0,'D. Annual Schedule Tables'!F136,"")</f>
        <v/>
      </c>
      <c r="G22" s="550" t="str">
        <f ca="1">IF('D. Annual Schedule Tables'!G136&gt;0,'D. Annual Schedule Tables'!G136,"")</f>
        <v/>
      </c>
      <c r="H22" s="550" t="str">
        <f ca="1">IF('D. Annual Schedule Tables'!H136&gt;0,'D. Annual Schedule Tables'!H136,"")</f>
        <v/>
      </c>
      <c r="I22" s="550" t="str">
        <f ca="1">IF('D. Annual Schedule Tables'!I136&gt;0,'D. Annual Schedule Tables'!I136,"")</f>
        <v/>
      </c>
      <c r="J22" s="550" t="str">
        <f ca="1">IF('D. Annual Schedule Tables'!J136&gt;0,'D. Annual Schedule Tables'!J136,"")</f>
        <v/>
      </c>
      <c r="K22" s="550" t="str">
        <f ca="1">IF('D. Annual Schedule Tables'!K136&gt;0,'D. Annual Schedule Tables'!K136,"")</f>
        <v/>
      </c>
      <c r="L22" s="550" t="str">
        <f ca="1">IF('D. Annual Schedule Tables'!L136&gt;0,'D. Annual Schedule Tables'!L136,"")</f>
        <v/>
      </c>
      <c r="M22" s="550" t="str">
        <f ca="1">IF('D. Annual Schedule Tables'!M136&gt;0,'D. Annual Schedule Tables'!M136,"")</f>
        <v/>
      </c>
      <c r="N22" s="550" t="str">
        <f ca="1">IF('D. Annual Schedule Tables'!N136&gt;0,'D. Annual Schedule Tables'!N136,"")</f>
        <v/>
      </c>
      <c r="O22" s="551" t="str">
        <f ca="1">IF('D. Annual Schedule Tables'!O136&gt;0,'D. Annual Schedule Tables'!O136,"")</f>
        <v/>
      </c>
      <c r="P22" s="552" t="str">
        <f t="shared" ca="1" si="2"/>
        <v/>
      </c>
    </row>
    <row r="23" spans="1:16" ht="14.55" hidden="1" customHeight="1" x14ac:dyDescent="0.3">
      <c r="A23" s="298" t="s">
        <v>352</v>
      </c>
      <c r="B23" s="303"/>
      <c r="C23" s="299"/>
      <c r="D23" s="296"/>
      <c r="E23" s="553">
        <f ca="1">IF('D. Annual Schedule Tables'!E137&gt;0,'D. Annual Schedule Tables'!E137,"")</f>
        <v>310</v>
      </c>
      <c r="F23" s="553">
        <f ca="1">IF('D. Annual Schedule Tables'!F137&gt;0,'D. Annual Schedule Tables'!F137,"")</f>
        <v>318</v>
      </c>
      <c r="G23" s="553">
        <f ca="1">IF('D. Annual Schedule Tables'!G137&gt;0,'D. Annual Schedule Tables'!G137,"")</f>
        <v>326</v>
      </c>
      <c r="H23" s="553">
        <f ca="1">IF('D. Annual Schedule Tables'!H137&gt;0,'D. Annual Schedule Tables'!H137,"")</f>
        <v>333</v>
      </c>
      <c r="I23" s="553">
        <f ca="1">IF('D. Annual Schedule Tables'!I137&gt;0,'D. Annual Schedule Tables'!I137,"")</f>
        <v>341</v>
      </c>
      <c r="J23" s="553">
        <f ca="1">IF('D. Annual Schedule Tables'!J137&gt;0,'D. Annual Schedule Tables'!J137,"")</f>
        <v>349</v>
      </c>
      <c r="K23" s="553">
        <f ca="1">IF('D. Annual Schedule Tables'!K137&gt;0,'D. Annual Schedule Tables'!K137,"")</f>
        <v>357</v>
      </c>
      <c r="L23" s="553">
        <f ca="1">IF('D. Annual Schedule Tables'!L137&gt;0,'D. Annual Schedule Tables'!L137,"")</f>
        <v>365</v>
      </c>
      <c r="M23" s="553">
        <f ca="1">IF('D. Annual Schedule Tables'!M137&gt;0,'D. Annual Schedule Tables'!M137,"")</f>
        <v>373</v>
      </c>
      <c r="N23" s="553">
        <f ca="1">IF('D. Annual Schedule Tables'!N137&gt;0,'D. Annual Schedule Tables'!N137,"")</f>
        <v>380</v>
      </c>
      <c r="O23" s="554">
        <f ca="1">IF('D. Annual Schedule Tables'!O137&gt;0,'D. Annual Schedule Tables'!O137,"")</f>
        <v>388</v>
      </c>
      <c r="P23" s="555">
        <f t="shared" ca="1" si="2"/>
        <v>388</v>
      </c>
    </row>
    <row r="24" spans="1:16" ht="14.55" customHeight="1" x14ac:dyDescent="0.3">
      <c r="A24" s="301" t="s">
        <v>354</v>
      </c>
      <c r="B24" s="305"/>
      <c r="C24" s="299"/>
      <c r="D24" s="296"/>
      <c r="E24" s="520">
        <f ca="1">IF(IFERROR(E20*'F. Provider-Level Services'!E177/E15,0)+IFERROR(E21*'F. Provider-Level Services'!E341/E15,0)+IFERROR(E22*'F. Provider-Level Services'!E505/E15,0)=0,"",IFERROR(E20*'F. Provider-Level Services'!E177/E15,0)+IFERROR(E21*'F. Provider-Level Services'!E341/E15,0)+IFERROR(E22*'F. Provider-Level Services'!E505/E15,0))</f>
        <v>5968.6553578471539</v>
      </c>
      <c r="F24" s="520">
        <f ca="1">IF(IFERROR(F20*'F. Provider-Level Services'!F177/F15,0)+IFERROR(F21*'F. Provider-Level Services'!F341/F15,0)+IFERROR(F22*'F. Provider-Level Services'!F505/F15,0)=0,"",IFERROR(F20*'F. Provider-Level Services'!F177/F15,0)+IFERROR(F21*'F. Provider-Level Services'!F341/F15,0)+IFERROR(F22*'F. Provider-Level Services'!F505/F15,0))</f>
        <v>6053.0299659731718</v>
      </c>
      <c r="G24" s="520">
        <f ca="1">IF(IFERROR(G20*'F. Provider-Level Services'!G177/G15,0)+IFERROR(G21*'F. Provider-Level Services'!G341/G15,0)+IFERROR(G22*'F. Provider-Level Services'!G505/G15,0)=0,"",IFERROR(G20*'F. Provider-Level Services'!G177/G15,0)+IFERROR(G21*'F. Provider-Level Services'!G341/G15,0)+IFERROR(G22*'F. Provider-Level Services'!G505/G15,0))</f>
        <v>6140.5457932904492</v>
      </c>
      <c r="H24" s="520">
        <f ca="1">IF(IFERROR(H20*'F. Provider-Level Services'!H177/H15,0)+IFERROR(H21*'F. Provider-Level Services'!H341/H15,0)+IFERROR(H22*'F. Provider-Level Services'!H505/H15,0)=0,"",IFERROR(H20*'F. Provider-Level Services'!H177/H15,0)+IFERROR(H21*'F. Provider-Level Services'!H341/H15,0)+IFERROR(H22*'F. Provider-Level Services'!H505/H15,0))</f>
        <v>6221.2612471657412</v>
      </c>
      <c r="I24" s="520">
        <f ca="1">IF(IFERROR(I20*'F. Provider-Level Services'!I177/I15,0)+IFERROR(I21*'F. Provider-Level Services'!I341/I15,0)+IFERROR(I22*'F. Provider-Level Services'!I505/I15,0)=0,"",IFERROR(I20*'F. Provider-Level Services'!I177/I15,0)+IFERROR(I21*'F. Provider-Level Services'!I341/I15,0)+IFERROR(I22*'F. Provider-Level Services'!I505/I15,0))</f>
        <v>6312.4869966554861</v>
      </c>
      <c r="J24" s="520">
        <f ca="1">IF(IFERROR(J20*'F. Provider-Level Services'!J177/J15,0)+IFERROR(J21*'F. Provider-Level Services'!J341/J15,0)+IFERROR(J22*'F. Provider-Level Services'!J505/J15,0)=0,"",IFERROR(J20*'F. Provider-Level Services'!J177/J15,0)+IFERROR(J21*'F. Provider-Level Services'!J341/J15,0)+IFERROR(J22*'F. Provider-Level Services'!J505/J15,0))</f>
        <v>6404.1709753908654</v>
      </c>
      <c r="K24" s="520">
        <f ca="1">IF(IFERROR(K20*'F. Provider-Level Services'!K177/K15,0)+IFERROR(K21*'F. Provider-Level Services'!K341/K15,0)+IFERROR(K22*'F. Provider-Level Services'!K505/K15,0)=0,"",IFERROR(K20*'F. Provider-Level Services'!K177/K15,0)+IFERROR(K21*'F. Provider-Level Services'!K341/K15,0)+IFERROR(K22*'F. Provider-Level Services'!K505/K15,0))</f>
        <v>6495.5635285713233</v>
      </c>
      <c r="L24" s="520">
        <f ca="1">IF(IFERROR(L20*'F. Provider-Level Services'!L177/L15,0)+IFERROR(L21*'F. Provider-Level Services'!L341/L15,0)+IFERROR(L22*'F. Provider-Level Services'!L505/L15,0)=0,"",IFERROR(L20*'F. Provider-Level Services'!L177/L15,0)+IFERROR(L21*'F. Provider-Level Services'!L341/L15,0)+IFERROR(L22*'F. Provider-Level Services'!L505/L15,0))</f>
        <v>6590.1063049242466</v>
      </c>
      <c r="M24" s="520">
        <f ca="1">IF(IFERROR(M20*'F. Provider-Level Services'!M177/M15,0)+IFERROR(M21*'F. Provider-Level Services'!M341/M15,0)+IFERROR(M22*'F. Provider-Level Services'!M505/M15,0)=0,"",IFERROR(M20*'F. Provider-Level Services'!M177/M15,0)+IFERROR(M21*'F. Provider-Level Services'!M341/M15,0)+IFERROR(M22*'F. Provider-Level Services'!M505/M15,0))</f>
        <v>6686.9912063959373</v>
      </c>
      <c r="N24" s="520">
        <f ca="1">IF(IFERROR(N20*'F. Provider-Level Services'!N177/N15,0)+IFERROR(N21*'F. Provider-Level Services'!N341/N15,0)+IFERROR(N22*'F. Provider-Level Services'!N505/N15,0)=0,"",IFERROR(N20*'F. Provider-Level Services'!N177/N15,0)+IFERROR(N21*'F. Provider-Level Services'!N341/N15,0)+IFERROR(N22*'F. Provider-Level Services'!N505/N15,0))</f>
        <v>6776.8491295230115</v>
      </c>
      <c r="O24" s="520">
        <f ca="1">IF(IFERROR(O20*'F. Provider-Level Services'!O177/O15,0)+IFERROR(O21*'F. Provider-Level Services'!O341/O15,0)+IFERROR(O22*'F. Provider-Level Services'!O505/O15,0)=0,"",IFERROR(O20*'F. Provider-Level Services'!O177/O15,0)+IFERROR(O21*'F. Provider-Level Services'!O341/O15,0)+IFERROR(O22*'F. Provider-Level Services'!O505/O15,0))</f>
        <v>6875.9116658087687</v>
      </c>
      <c r="P24" s="528">
        <f t="shared" ca="1" si="2"/>
        <v>6875.9116658087687</v>
      </c>
    </row>
    <row r="25" spans="1:16" ht="14.55" customHeight="1" x14ac:dyDescent="0.3">
      <c r="A25" s="301" t="s">
        <v>355</v>
      </c>
      <c r="B25" s="305"/>
      <c r="C25" s="299"/>
      <c r="D25" s="296"/>
      <c r="E25" s="520">
        <f ca="1">IF(IFERROR(E20*'F. Provider-Level Services'!E178/E16,0)+IFERROR(E21*'F. Provider-Level Services'!E342/E16,0)+IFERROR(E22*'F. Provider-Level Services'!E506/E16,0)=0,"",IFERROR(E20*'F. Provider-Level Services'!E178/E16,0)+IFERROR(E21*'F. Provider-Level Services'!E342/E16,0)+IFERROR(E22*'F. Provider-Level Services'!E506/E16,0))</f>
        <v>10727.861668521089</v>
      </c>
      <c r="F25" s="520">
        <f ca="1">IF(IFERROR(F20*'F. Provider-Level Services'!F178/F16,0)+IFERROR(F21*'F. Provider-Level Services'!F342/F16,0)+IFERROR(F22*'F. Provider-Level Services'!F506/F16,0)=0,"",IFERROR(F20*'F. Provider-Level Services'!F178/F16,0)+IFERROR(F21*'F. Provider-Level Services'!F342/F16,0)+IFERROR(F22*'F. Provider-Level Services'!F506/F16,0))</f>
        <v>10884.721634284091</v>
      </c>
      <c r="G25" s="520">
        <f ca="1">IF(IFERROR(G20*'F. Provider-Level Services'!G178/G16,0)+IFERROR(G21*'F. Provider-Level Services'!G342/G16,0)+IFERROR(G22*'F. Provider-Level Services'!G506/G16,0)=0,"",IFERROR(G20*'F. Provider-Level Services'!G178/G16,0)+IFERROR(G21*'F. Provider-Level Services'!G342/G16,0)+IFERROR(G22*'F. Provider-Level Services'!G506/G16,0))</f>
        <v>11037.469486130198</v>
      </c>
      <c r="H25" s="520">
        <f ca="1">IF(IFERROR(H20*'F. Provider-Level Services'!H178/H16,0)+IFERROR(H21*'F. Provider-Level Services'!H342/H16,0)+IFERROR(H22*'F. Provider-Level Services'!H506/H16,0)=0,"",IFERROR(H20*'F. Provider-Level Services'!H178/H16,0)+IFERROR(H21*'F. Provider-Level Services'!H342/H16,0)+IFERROR(H22*'F. Provider-Level Services'!H506/H16,0))</f>
        <v>11186.01982760859</v>
      </c>
      <c r="I25" s="520">
        <f ca="1">IF(IFERROR(I20*'F. Provider-Level Services'!I178/I16,0)+IFERROR(I21*'F. Provider-Level Services'!I342/I16,0)+IFERROR(I22*'F. Provider-Level Services'!I506/I16,0)=0,"",IFERROR(I20*'F. Provider-Level Services'!I178/I16,0)+IFERROR(I21*'F. Provider-Level Services'!I342/I16,0)+IFERROR(I22*'F. Provider-Level Services'!I506/I16,0))</f>
        <v>11341.539993280863</v>
      </c>
      <c r="J25" s="520">
        <f ca="1">IF(IFERROR(J20*'F. Provider-Level Services'!J178/J16,0)+IFERROR(J21*'F. Provider-Level Services'!J342/J16,0)+IFERROR(J22*'F. Provider-Level Services'!J506/J16,0)=0,"",IFERROR(J20*'F. Provider-Level Services'!J178/J16,0)+IFERROR(J21*'F. Provider-Level Services'!J342/J16,0)+IFERROR(J22*'F. Provider-Level Services'!J506/J16,0))</f>
        <v>11501.788148464591</v>
      </c>
      <c r="K25" s="520">
        <f ca="1">IF(IFERROR(K20*'F. Provider-Level Services'!K178/K16,0)+IFERROR(K21*'F. Provider-Level Services'!K342/K16,0)+IFERROR(K22*'F. Provider-Level Services'!K506/K16,0)=0,"",IFERROR(K20*'F. Provider-Level Services'!K178/K16,0)+IFERROR(K21*'F. Provider-Level Services'!K342/K16,0)+IFERROR(K22*'F. Provider-Level Services'!K506/K16,0))</f>
        <v>11670.597003831512</v>
      </c>
      <c r="L25" s="520">
        <f ca="1">IF(IFERROR(L20*'F. Provider-Level Services'!L178/L16,0)+IFERROR(L21*'F. Provider-Level Services'!L342/L16,0)+IFERROR(L22*'F. Provider-Level Services'!L506/L16,0)=0,"",IFERROR(L20*'F. Provider-Level Services'!L178/L16,0)+IFERROR(L21*'F. Provider-Level Services'!L342/L16,0)+IFERROR(L22*'F. Provider-Level Services'!L506/L16,0))</f>
        <v>11835.907445302597</v>
      </c>
      <c r="M25" s="520">
        <f ca="1">IF(IFERROR(M20*'F. Provider-Level Services'!M178/M16,0)+IFERROR(M21*'F. Provider-Level Services'!M342/M16,0)+IFERROR(M22*'F. Provider-Level Services'!M506/M16,0)=0,"",IFERROR(M20*'F. Provider-Level Services'!M178/M16,0)+IFERROR(M21*'F. Provider-Level Services'!M342/M16,0)+IFERROR(M22*'F. Provider-Level Services'!M506/M16,0))</f>
        <v>12001.699890481001</v>
      </c>
      <c r="N25" s="520">
        <f ca="1">IF(IFERROR(N20*'F. Provider-Level Services'!N178/N16,0)+IFERROR(N21*'F. Provider-Level Services'!N342/N16,0)+IFERROR(N22*'F. Provider-Level Services'!N506/N16,0)=0,"",IFERROR(N20*'F. Provider-Level Services'!N178/N16,0)+IFERROR(N21*'F. Provider-Level Services'!N342/N16,0)+IFERROR(N22*'F. Provider-Level Services'!N506/N16,0))</f>
        <v>12166.120826478471</v>
      </c>
      <c r="O25" s="520">
        <f ca="1">IF(IFERROR(O20*'F. Provider-Level Services'!O178/O16,0)+IFERROR(O21*'F. Provider-Level Services'!O342/O16,0)+IFERROR(O22*'F. Provider-Level Services'!O506/O16,0)=0,"",IFERROR(O20*'F. Provider-Level Services'!O178/O16,0)+IFERROR(O21*'F. Provider-Level Services'!O342/O16,0)+IFERROR(O22*'F. Provider-Level Services'!O506/O16,0))</f>
        <v>12339.526461009078</v>
      </c>
      <c r="P25" s="528">
        <f t="shared" ca="1" si="2"/>
        <v>12339.526461009078</v>
      </c>
    </row>
    <row r="26" spans="1:16" ht="14.55" customHeight="1" x14ac:dyDescent="0.3">
      <c r="A26" s="301" t="s">
        <v>356</v>
      </c>
      <c r="B26" s="305"/>
      <c r="C26" s="299"/>
      <c r="D26" s="296"/>
      <c r="E26" s="520" t="str">
        <f ca="1">IF(IFERROR(E20*'F. Provider-Level Services'!E179/E17,0)+IFERROR(E21*'F. Provider-Level Services'!E343/E17,0)+IFERROR(E22*'F. Provider-Level Services'!E507/E17,0)=0,"",IFERROR(E20*'F. Provider-Level Services'!E179/E17,0)+IFERROR(E21*'F. Provider-Level Services'!E343/E17,0)+IFERROR(E22*'F. Provider-Level Services'!E507/E17,0))</f>
        <v/>
      </c>
      <c r="F26" s="520" t="str">
        <f ca="1">IF(IFERROR(F20*'F. Provider-Level Services'!F179/F17,0)+IFERROR(F21*'F. Provider-Level Services'!F343/F17,0)+IFERROR(F22*'F. Provider-Level Services'!F507/F17,0)=0,"",IFERROR(F20*'F. Provider-Level Services'!F179/F17,0)+IFERROR(F21*'F. Provider-Level Services'!F343/F17,0)+IFERROR(F22*'F. Provider-Level Services'!F507/F17,0))</f>
        <v/>
      </c>
      <c r="G26" s="520" t="str">
        <f ca="1">IF(IFERROR(G20*'F. Provider-Level Services'!G179/G17,0)+IFERROR(G21*'F. Provider-Level Services'!G343/G17,0)+IFERROR(G22*'F. Provider-Level Services'!G507/G17,0)=0,"",IFERROR(G20*'F. Provider-Level Services'!G179/G17,0)+IFERROR(G21*'F. Provider-Level Services'!G343/G17,0)+IFERROR(G22*'F. Provider-Level Services'!G507/G17,0))</f>
        <v/>
      </c>
      <c r="H26" s="520" t="str">
        <f ca="1">IF(IFERROR(H20*'F. Provider-Level Services'!H179/H17,0)+IFERROR(H21*'F. Provider-Level Services'!H343/H17,0)+IFERROR(H22*'F. Provider-Level Services'!H507/H17,0)=0,"",IFERROR(H20*'F. Provider-Level Services'!H179/H17,0)+IFERROR(H21*'F. Provider-Level Services'!H343/H17,0)+IFERROR(H22*'F. Provider-Level Services'!H507/H17,0))</f>
        <v/>
      </c>
      <c r="I26" s="520" t="str">
        <f ca="1">IF(IFERROR(I20*'F. Provider-Level Services'!I179/I17,0)+IFERROR(I21*'F. Provider-Level Services'!I343/I17,0)+IFERROR(I22*'F. Provider-Level Services'!I507/I17,0)=0,"",IFERROR(I20*'F. Provider-Level Services'!I179/I17,0)+IFERROR(I21*'F. Provider-Level Services'!I343/I17,0)+IFERROR(I22*'F. Provider-Level Services'!I507/I17,0))</f>
        <v/>
      </c>
      <c r="J26" s="520" t="str">
        <f ca="1">IF(IFERROR(J20*'F. Provider-Level Services'!J179/J17,0)+IFERROR(J21*'F. Provider-Level Services'!J343/J17,0)+IFERROR(J22*'F. Provider-Level Services'!J507/J17,0)=0,"",IFERROR(J20*'F. Provider-Level Services'!J179/J17,0)+IFERROR(J21*'F. Provider-Level Services'!J343/J17,0)+IFERROR(J22*'F. Provider-Level Services'!J507/J17,0))</f>
        <v/>
      </c>
      <c r="K26" s="520" t="str">
        <f ca="1">IF(IFERROR(K20*'F. Provider-Level Services'!K179/K17,0)+IFERROR(K21*'F. Provider-Level Services'!K343/K17,0)+IFERROR(K22*'F. Provider-Level Services'!K507/K17,0)=0,"",IFERROR(K20*'F. Provider-Level Services'!K179/K17,0)+IFERROR(K21*'F. Provider-Level Services'!K343/K17,0)+IFERROR(K22*'F. Provider-Level Services'!K507/K17,0))</f>
        <v/>
      </c>
      <c r="L26" s="520" t="str">
        <f ca="1">IF(IFERROR(L20*'F. Provider-Level Services'!L179/L17,0)+IFERROR(L21*'F. Provider-Level Services'!L343/L17,0)+IFERROR(L22*'F. Provider-Level Services'!L507/L17,0)=0,"",IFERROR(L20*'F. Provider-Level Services'!L179/L17,0)+IFERROR(L21*'F. Provider-Level Services'!L343/L17,0)+IFERROR(L22*'F. Provider-Level Services'!L507/L17,0))</f>
        <v/>
      </c>
      <c r="M26" s="520" t="str">
        <f ca="1">IF(IFERROR(M20*'F. Provider-Level Services'!M179/M17,0)+IFERROR(M21*'F. Provider-Level Services'!M343/M17,0)+IFERROR(M22*'F. Provider-Level Services'!M507/M17,0)=0,"",IFERROR(M20*'F. Provider-Level Services'!M179/M17,0)+IFERROR(M21*'F. Provider-Level Services'!M343/M17,0)+IFERROR(M22*'F. Provider-Level Services'!M507/M17,0))</f>
        <v/>
      </c>
      <c r="N26" s="520" t="str">
        <f ca="1">IF(IFERROR(N20*'F. Provider-Level Services'!N179/N17,0)+IFERROR(N21*'F. Provider-Level Services'!N343/N17,0)+IFERROR(N22*'F. Provider-Level Services'!N507/N17,0)=0,"",IFERROR(N20*'F. Provider-Level Services'!N179/N17,0)+IFERROR(N21*'F. Provider-Level Services'!N343/N17,0)+IFERROR(N22*'F. Provider-Level Services'!N507/N17,0))</f>
        <v/>
      </c>
      <c r="O26" s="520" t="str">
        <f ca="1">IF(IFERROR(O20*'F. Provider-Level Services'!O179/O17,0)+IFERROR(O21*'F. Provider-Level Services'!O343/O17,0)+IFERROR(O22*'F. Provider-Level Services'!O507/O17,0)=0,"",IFERROR(O20*'F. Provider-Level Services'!O179/O17,0)+IFERROR(O21*'F. Provider-Level Services'!O343/O17,0)+IFERROR(O22*'F. Provider-Level Services'!O507/O17,0))</f>
        <v/>
      </c>
      <c r="P26" s="528" t="str">
        <f t="shared" ca="1" si="2"/>
        <v/>
      </c>
    </row>
    <row r="27" spans="1:16" ht="14.55" customHeight="1" x14ac:dyDescent="0.3">
      <c r="A27" s="300" t="s">
        <v>843</v>
      </c>
      <c r="B27" s="305"/>
      <c r="C27" s="299"/>
      <c r="D27" s="296"/>
      <c r="E27" s="545">
        <f t="shared" ref="E27:O27" ca="1" si="3">IFERROR(E11/E18,"")</f>
        <v>6130.1949976350434</v>
      </c>
      <c r="F27" s="545">
        <f t="shared" ca="1" si="3"/>
        <v>6212.8569168333306</v>
      </c>
      <c r="G27" s="545">
        <f t="shared" ca="1" si="3"/>
        <v>6298.5110737046352</v>
      </c>
      <c r="H27" s="545">
        <f t="shared" ca="1" si="3"/>
        <v>6377.5369409811319</v>
      </c>
      <c r="I27" s="545">
        <f t="shared" ca="1" si="3"/>
        <v>6467.0441809489357</v>
      </c>
      <c r="J27" s="545">
        <f t="shared" ca="1" si="3"/>
        <v>6557.2172184623651</v>
      </c>
      <c r="K27" s="545">
        <f t="shared" ca="1" si="3"/>
        <v>6647.4268133983724</v>
      </c>
      <c r="L27" s="545">
        <f t="shared" ca="1" si="3"/>
        <v>6740.6480595046442</v>
      </c>
      <c r="M27" s="545">
        <f t="shared" ca="1" si="3"/>
        <v>6836.2162882384982</v>
      </c>
      <c r="N27" s="545">
        <f t="shared" ca="1" si="3"/>
        <v>6924.9686476211518</v>
      </c>
      <c r="O27" s="546">
        <f t="shared" ca="1" si="3"/>
        <v>7022.9654801723382</v>
      </c>
      <c r="P27" s="547">
        <f t="shared" ca="1" si="2"/>
        <v>7022.9654801723382</v>
      </c>
    </row>
    <row r="28" spans="1:16" s="1" customFormat="1" ht="14.55" customHeight="1" x14ac:dyDescent="0.3">
      <c r="A28" s="298" t="s">
        <v>357</v>
      </c>
      <c r="B28" s="303"/>
      <c r="C28" s="548"/>
      <c r="D28" s="549"/>
      <c r="E28" s="545">
        <f t="shared" ref="E28:O28" ca="1" si="4">IFERROR(E10/E18,"")</f>
        <v>182.44317713343412</v>
      </c>
      <c r="F28" s="545">
        <f t="shared" ca="1" si="4"/>
        <v>202.14088121066021</v>
      </c>
      <c r="G28" s="545">
        <f t="shared" ca="1" si="4"/>
        <v>227.40346837873841</v>
      </c>
      <c r="H28" s="545">
        <f t="shared" ca="1" si="4"/>
        <v>214.8994142131464</v>
      </c>
      <c r="I28" s="545">
        <f t="shared" ca="1" si="4"/>
        <v>221.86281293345883</v>
      </c>
      <c r="J28" s="545">
        <f t="shared" ca="1" si="4"/>
        <v>223.2006875685255</v>
      </c>
      <c r="K28" s="545">
        <f t="shared" ca="1" si="4"/>
        <v>225.13410763200508</v>
      </c>
      <c r="L28" s="545">
        <f t="shared" ca="1" si="4"/>
        <v>226.90734618664496</v>
      </c>
      <c r="M28" s="545">
        <f t="shared" ca="1" si="4"/>
        <v>228.78579674593735</v>
      </c>
      <c r="N28" s="545">
        <f t="shared" ca="1" si="4"/>
        <v>225.25137817140973</v>
      </c>
      <c r="O28" s="546">
        <f t="shared" ca="1" si="4"/>
        <v>232.52718109237301</v>
      </c>
      <c r="P28" s="547">
        <f t="shared" ca="1" si="2"/>
        <v>232.52718109237301</v>
      </c>
    </row>
    <row r="29" spans="1:16" s="1" customFormat="1" ht="14.55" customHeight="1" x14ac:dyDescent="0.3">
      <c r="A29" s="298" t="s">
        <v>845</v>
      </c>
      <c r="B29" s="303"/>
      <c r="C29" s="548"/>
      <c r="D29" s="549"/>
      <c r="E29" s="545">
        <f ca="1">IF(E27="","",E27+E28)</f>
        <v>6312.6381747684773</v>
      </c>
      <c r="F29" s="545">
        <f t="shared" ref="F29:O29" ca="1" si="5">IF(F27="","",F27+F28)</f>
        <v>6414.9977980439908</v>
      </c>
      <c r="G29" s="545">
        <f t="shared" ca="1" si="5"/>
        <v>6525.9145420833738</v>
      </c>
      <c r="H29" s="545">
        <f t="shared" ca="1" si="5"/>
        <v>6592.4363551942779</v>
      </c>
      <c r="I29" s="545">
        <f t="shared" ca="1" si="5"/>
        <v>6688.9069938823941</v>
      </c>
      <c r="J29" s="545">
        <f t="shared" ca="1" si="5"/>
        <v>6780.4179060308907</v>
      </c>
      <c r="K29" s="545">
        <f t="shared" ca="1" si="5"/>
        <v>6872.5609210303774</v>
      </c>
      <c r="L29" s="545">
        <f t="shared" ca="1" si="5"/>
        <v>6967.5554056912888</v>
      </c>
      <c r="M29" s="545">
        <f t="shared" ca="1" si="5"/>
        <v>7065.0020849844359</v>
      </c>
      <c r="N29" s="545">
        <f t="shared" ca="1" si="5"/>
        <v>7150.2200257925615</v>
      </c>
      <c r="O29" s="545">
        <f t="shared" ca="1" si="5"/>
        <v>7255.4926612647114</v>
      </c>
      <c r="P29" s="547">
        <f t="shared" ca="1" si="2"/>
        <v>7255.4926612647114</v>
      </c>
    </row>
    <row r="30" spans="1:16" ht="14.55" customHeight="1" x14ac:dyDescent="0.3">
      <c r="A30" s="521" t="s">
        <v>350</v>
      </c>
      <c r="B30" s="305"/>
      <c r="C30" s="299"/>
      <c r="D30" s="20"/>
      <c r="E30" s="522">
        <f ca="1">IF('D. Annual Schedule Tables'!E700&gt;0,'D. Annual Schedule Tables'!E700,"")</f>
        <v>1</v>
      </c>
      <c r="F30" s="522">
        <f ca="1">IF('D. Annual Schedule Tables'!F700&gt;0,'D. Annual Schedule Tables'!F700,"")</f>
        <v>1</v>
      </c>
      <c r="G30" s="522">
        <f ca="1">IF('D. Annual Schedule Tables'!G700&gt;0,'D. Annual Schedule Tables'!G700,"")</f>
        <v>1</v>
      </c>
      <c r="H30" s="522">
        <f ca="1">IF('D. Annual Schedule Tables'!H700&gt;0,'D. Annual Schedule Tables'!H700,"")</f>
        <v>1</v>
      </c>
      <c r="I30" s="522">
        <f ca="1">IF('D. Annual Schedule Tables'!I700&gt;0,'D. Annual Schedule Tables'!I700,"")</f>
        <v>1</v>
      </c>
      <c r="J30" s="522">
        <f ca="1">IF('D. Annual Schedule Tables'!J700&gt;0,'D. Annual Schedule Tables'!J700,"")</f>
        <v>1</v>
      </c>
      <c r="K30" s="522">
        <f ca="1">IF('D. Annual Schedule Tables'!K700&gt;0,'D. Annual Schedule Tables'!K700,"")</f>
        <v>1</v>
      </c>
      <c r="L30" s="522">
        <f ca="1">IF('D. Annual Schedule Tables'!L700&gt;0,'D. Annual Schedule Tables'!L700,"")</f>
        <v>1</v>
      </c>
      <c r="M30" s="522">
        <f ca="1">IF('D. Annual Schedule Tables'!M700&gt;0,'D. Annual Schedule Tables'!M700,"")</f>
        <v>1</v>
      </c>
      <c r="N30" s="522">
        <f ca="1">IF('D. Annual Schedule Tables'!N700&gt;0,'D. Annual Schedule Tables'!N700,"")</f>
        <v>1</v>
      </c>
      <c r="O30" s="525">
        <f ca="1">IF('D. Annual Schedule Tables'!O700&gt;0,'D. Annual Schedule Tables'!O700,"")</f>
        <v>1</v>
      </c>
      <c r="P30" s="529">
        <f t="shared" ca="1" si="2"/>
        <v>1</v>
      </c>
    </row>
    <row r="31" spans="1:16" ht="14.55" customHeight="1" x14ac:dyDescent="0.3">
      <c r="A31" s="521" t="s">
        <v>349</v>
      </c>
      <c r="B31" s="305"/>
      <c r="C31" s="299"/>
      <c r="D31" s="20"/>
      <c r="E31" s="522">
        <f ca="1">IF('D. Annual Schedule Tables'!E710&gt;0,'D. Annual Schedule Tables'!E710,"")</f>
        <v>1</v>
      </c>
      <c r="F31" s="522">
        <f ca="1">IF('D. Annual Schedule Tables'!F710&gt;0,'D. Annual Schedule Tables'!F710,"")</f>
        <v>1</v>
      </c>
      <c r="G31" s="522">
        <f ca="1">IF('D. Annual Schedule Tables'!G710&gt;0,'D. Annual Schedule Tables'!G710,"")</f>
        <v>1</v>
      </c>
      <c r="H31" s="522">
        <f ca="1">IF('D. Annual Schedule Tables'!H710&gt;0,'D. Annual Schedule Tables'!H710,"")</f>
        <v>1</v>
      </c>
      <c r="I31" s="522">
        <f ca="1">IF('D. Annual Schedule Tables'!I710&gt;0,'D. Annual Schedule Tables'!I710,"")</f>
        <v>1</v>
      </c>
      <c r="J31" s="522">
        <f ca="1">IF('D. Annual Schedule Tables'!J710&gt;0,'D. Annual Schedule Tables'!J710,"")</f>
        <v>1</v>
      </c>
      <c r="K31" s="522">
        <f ca="1">IF('D. Annual Schedule Tables'!K710&gt;0,'D. Annual Schedule Tables'!K710,"")</f>
        <v>1</v>
      </c>
      <c r="L31" s="522">
        <f ca="1">IF('D. Annual Schedule Tables'!L710&gt;0,'D. Annual Schedule Tables'!L710,"")</f>
        <v>1</v>
      </c>
      <c r="M31" s="522">
        <f ca="1">IF('D. Annual Schedule Tables'!M710&gt;0,'D. Annual Schedule Tables'!M710,"")</f>
        <v>1</v>
      </c>
      <c r="N31" s="522">
        <f ca="1">IF('D. Annual Schedule Tables'!N710&gt;0,'D. Annual Schedule Tables'!N710,"")</f>
        <v>1</v>
      </c>
      <c r="O31" s="525">
        <f ca="1">IF('D. Annual Schedule Tables'!O710&gt;0,'D. Annual Schedule Tables'!O710,"")</f>
        <v>1</v>
      </c>
      <c r="P31" s="529">
        <f t="shared" ca="1" si="2"/>
        <v>1</v>
      </c>
    </row>
    <row r="32" spans="1:16" ht="15" customHeight="1" thickBot="1" x14ac:dyDescent="0.35">
      <c r="A32" s="521" t="s">
        <v>351</v>
      </c>
      <c r="B32" s="305"/>
      <c r="C32" s="299"/>
      <c r="D32" s="20"/>
      <c r="E32" s="522">
        <f ca="1">IF('D. Annual Schedule Tables'!E720&gt;0,'D. Annual Schedule Tables'!E720,"")</f>
        <v>0.6607431340872375</v>
      </c>
      <c r="F32" s="522">
        <f ca="1">IF('D. Annual Schedule Tables'!F720&gt;0,'D. Annual Schedule Tables'!F720,"")</f>
        <v>0.65826771653543303</v>
      </c>
      <c r="G32" s="522">
        <f ca="1">IF('D. Annual Schedule Tables'!G720&gt;0,'D. Annual Schedule Tables'!G720,"")</f>
        <v>0.76461538461538459</v>
      </c>
      <c r="H32" s="522">
        <f ca="1">IF('D. Annual Schedule Tables'!H720&gt;0,'D. Annual Schedule Tables'!H720,"")</f>
        <v>0.7642642642642643</v>
      </c>
      <c r="I32" s="522">
        <f ca="1">IF('D. Annual Schedule Tables'!I720&gt;0,'D. Annual Schedule Tables'!I720,"")</f>
        <v>0.76099706744868034</v>
      </c>
      <c r="J32" s="522">
        <f ca="1">IF('D. Annual Schedule Tables'!J720&gt;0,'D. Annual Schedule Tables'!J720,"")</f>
        <v>0.76183644189383071</v>
      </c>
      <c r="K32" s="522">
        <f ca="1">IF('D. Annual Schedule Tables'!K720&gt;0,'D. Annual Schedule Tables'!K720,"")</f>
        <v>0.76016830294530158</v>
      </c>
      <c r="L32" s="522">
        <f ca="1">IF('D. Annual Schedule Tables'!L720&gt;0,'D. Annual Schedule Tables'!L720,"")</f>
        <v>0.76098901098901095</v>
      </c>
      <c r="M32" s="522">
        <f ca="1">IF('D. Annual Schedule Tables'!M720&gt;0,'D. Annual Schedule Tables'!M720,"")</f>
        <v>0.760752688172043</v>
      </c>
      <c r="N32" s="522">
        <f ca="1">IF('D. Annual Schedule Tables'!N720&gt;0,'D. Annual Schedule Tables'!N720,"")</f>
        <v>0.76184210526315788</v>
      </c>
      <c r="O32" s="525">
        <f ca="1">IF('D. Annual Schedule Tables'!O720&gt;0,'D. Annual Schedule Tables'!O720,"")</f>
        <v>0.76258064516129032</v>
      </c>
      <c r="P32" s="530">
        <f t="shared" ca="1" si="2"/>
        <v>0.76258064516129032</v>
      </c>
    </row>
    <row r="33" spans="1:16" ht="15" thickBot="1" x14ac:dyDescent="0.35">
      <c r="A33" s="1"/>
      <c r="B33" s="1"/>
      <c r="D33" s="19"/>
      <c r="E33" s="49"/>
      <c r="F33" s="30"/>
      <c r="G33" s="19"/>
      <c r="H33" s="19"/>
      <c r="I33" s="19"/>
      <c r="J33" s="19"/>
      <c r="K33" s="19"/>
      <c r="L33" s="30"/>
      <c r="M33" s="30"/>
      <c r="N33" s="30"/>
      <c r="O33" s="30"/>
      <c r="P33" s="30"/>
    </row>
    <row r="34" spans="1:16" ht="30" thickBot="1" x14ac:dyDescent="0.4">
      <c r="A34" s="274" t="s">
        <v>344</v>
      </c>
      <c r="B34" s="19"/>
      <c r="C34" s="19"/>
      <c r="E34" s="274" t="s">
        <v>345</v>
      </c>
      <c r="F34" s="274"/>
      <c r="P34" s="292" t="s">
        <v>332</v>
      </c>
    </row>
    <row r="35" spans="1:16" ht="15" thickBot="1" x14ac:dyDescent="0.35">
      <c r="A35" s="777" t="s">
        <v>306</v>
      </c>
      <c r="B35" s="777"/>
      <c r="C35" s="777"/>
      <c r="E35" s="772"/>
      <c r="F35" s="772"/>
      <c r="G35" s="772"/>
      <c r="H35" s="772"/>
      <c r="I35" s="772"/>
      <c r="J35" s="772"/>
      <c r="K35" s="772"/>
      <c r="L35" s="772"/>
      <c r="M35" s="772"/>
      <c r="N35" s="772"/>
      <c r="O35" s="772"/>
      <c r="P35" s="291"/>
    </row>
    <row r="36" spans="1:16" ht="14.55" customHeight="1" x14ac:dyDescent="0.3">
      <c r="A36" s="777" t="s">
        <v>837</v>
      </c>
      <c r="B36" s="777"/>
      <c r="C36" s="777"/>
      <c r="E36" s="774" t="s">
        <v>346</v>
      </c>
      <c r="F36" s="774"/>
      <c r="G36" s="774"/>
      <c r="H36" s="774"/>
      <c r="I36" s="774"/>
      <c r="J36" s="774"/>
      <c r="K36" s="774"/>
      <c r="L36" s="774"/>
      <c r="M36" s="774"/>
      <c r="N36" s="774"/>
      <c r="O36" s="770"/>
      <c r="P36" s="293" t="b">
        <f ca="1">IF(ISNA(VLOOKUP(FALSE,OFFSET(TableB2.a.1,0,CELL("col",P36)-13,,1),1,FALSE)),TRUE,VLOOKUP(FALSE,OFFSET(TableB2.a.1,0,CELL("col",P36)-13,,1),1,FALSE))</f>
        <v>1</v>
      </c>
    </row>
    <row r="37" spans="1:16" ht="15" thickBot="1" x14ac:dyDescent="0.35">
      <c r="A37" s="777" t="s">
        <v>838</v>
      </c>
      <c r="B37" s="777"/>
      <c r="C37" s="777"/>
      <c r="E37" s="770"/>
      <c r="F37" s="771"/>
      <c r="G37" s="771"/>
      <c r="H37" s="771"/>
      <c r="I37" s="771"/>
      <c r="J37" s="771"/>
      <c r="K37" s="771"/>
      <c r="L37" s="771"/>
      <c r="M37" s="771"/>
      <c r="N37" s="771"/>
      <c r="O37" s="771"/>
      <c r="P37" s="278" t="b">
        <f ca="1">IF(ISNA(VLOOKUP(FALSE,OFFSET(TableB2.a.2,0,CELL("col",P37)-13,,1),1,FALSE)),TRUE,VLOOKUP(FALSE,OFFSET(TableB2.a.2,0,CELL("col",P37)-13,,1),1,FALSE))</f>
        <v>1</v>
      </c>
    </row>
    <row r="38" spans="1:16" ht="15" thickBot="1" x14ac:dyDescent="0.35">
      <c r="A38" s="773" t="s">
        <v>307</v>
      </c>
      <c r="B38" s="773"/>
      <c r="C38" s="773"/>
      <c r="E38" s="772"/>
      <c r="F38" s="772"/>
      <c r="G38" s="772"/>
      <c r="H38" s="772"/>
      <c r="I38" s="772"/>
      <c r="J38" s="772"/>
      <c r="K38" s="772"/>
      <c r="L38" s="772"/>
      <c r="M38" s="772"/>
      <c r="N38" s="772"/>
      <c r="O38" s="772"/>
      <c r="P38" s="291"/>
    </row>
    <row r="39" spans="1:16" x14ac:dyDescent="0.3">
      <c r="B39" s="773" t="s">
        <v>328</v>
      </c>
      <c r="C39" s="773"/>
      <c r="E39" s="770"/>
      <c r="F39" s="771"/>
      <c r="G39" s="771"/>
      <c r="H39" s="771"/>
      <c r="I39" s="771"/>
      <c r="J39" s="771"/>
      <c r="K39" s="771"/>
      <c r="L39" s="771"/>
      <c r="M39" s="771"/>
      <c r="N39" s="771"/>
      <c r="O39" s="771"/>
      <c r="P39" s="293" t="b">
        <f ca="1">IF(ISNA(VLOOKUP(FALSE,OFFSET(TableB2.b.1,0,CELL("col",P39)-13,,1),1,FALSE)),TRUE,VLOOKUP(FALSE,OFFSET(TableB2.b.1,0,CELL("col",P39)-13,,1),1,FALSE))</f>
        <v>1</v>
      </c>
    </row>
    <row r="40" spans="1:16" x14ac:dyDescent="0.3">
      <c r="B40" s="773" t="s">
        <v>333</v>
      </c>
      <c r="C40" s="773"/>
      <c r="E40" s="770"/>
      <c r="F40" s="771"/>
      <c r="G40" s="771"/>
      <c r="H40" s="771"/>
      <c r="I40" s="771"/>
      <c r="J40" s="771"/>
      <c r="K40" s="771"/>
      <c r="L40" s="771"/>
      <c r="M40" s="771"/>
      <c r="N40" s="771"/>
      <c r="O40" s="771"/>
      <c r="P40" s="104" t="b">
        <f ca="1">IF(ISNA(VLOOKUP(FALSE,OFFSET(TableB2.b.2,0,CELL("col",P40)-13,,1),1,FALSE)),TRUE,VLOOKUP(FALSE,OFFSET(TableB2.b.2,0,CELL("col",P40)-13,,1),1,FALSE))</f>
        <v>1</v>
      </c>
    </row>
    <row r="41" spans="1:16" x14ac:dyDescent="0.3">
      <c r="B41" s="773" t="s">
        <v>334</v>
      </c>
      <c r="C41" s="773"/>
      <c r="E41" s="770"/>
      <c r="F41" s="771"/>
      <c r="G41" s="771"/>
      <c r="H41" s="771"/>
      <c r="I41" s="771"/>
      <c r="J41" s="771"/>
      <c r="K41" s="771"/>
      <c r="L41" s="771"/>
      <c r="M41" s="771"/>
      <c r="N41" s="771"/>
      <c r="O41" s="771"/>
      <c r="P41" s="104" t="b">
        <f ca="1">IF(ISNA(VLOOKUP(FALSE,OFFSET(TableB2.b.3,0,CELL("col",P41)-13,,1),1,FALSE)),TRUE,VLOOKUP(FALSE,OFFSET(TableB2.b.3,0,CELL("col",P41)-13,,1),1,FALSE))</f>
        <v>1</v>
      </c>
    </row>
    <row r="42" spans="1:16" x14ac:dyDescent="0.3">
      <c r="B42" s="773" t="s">
        <v>335</v>
      </c>
      <c r="C42" s="773"/>
      <c r="E42" s="770"/>
      <c r="F42" s="771"/>
      <c r="G42" s="771"/>
      <c r="H42" s="771"/>
      <c r="I42" s="771"/>
      <c r="J42" s="771"/>
      <c r="K42" s="771"/>
      <c r="L42" s="771"/>
      <c r="M42" s="771"/>
      <c r="N42" s="771"/>
      <c r="O42" s="771"/>
      <c r="P42" s="104" t="b">
        <f ca="1">IF(ISNA(VLOOKUP(FALSE,OFFSET(TableB2.b.4,0,CELL("col",P42)-13,,1),1,FALSE)),TRUE,VLOOKUP(FALSE,OFFSET(TableB2.b.4,0,CELL("col",P42)-13,,1),1,FALSE))</f>
        <v>1</v>
      </c>
    </row>
    <row r="43" spans="1:16" x14ac:dyDescent="0.3">
      <c r="B43" s="773" t="s">
        <v>329</v>
      </c>
      <c r="C43" s="773"/>
      <c r="E43" s="770"/>
      <c r="F43" s="771"/>
      <c r="G43" s="771"/>
      <c r="H43" s="771"/>
      <c r="I43" s="771"/>
      <c r="J43" s="771"/>
      <c r="K43" s="771"/>
      <c r="L43" s="771"/>
      <c r="M43" s="771"/>
      <c r="N43" s="771"/>
      <c r="O43" s="771"/>
      <c r="P43" s="104" t="b">
        <f ca="1">IF(ISNA(VLOOKUP(FALSE,OFFSET(TableB2.b.5,0,CELL("col",P43)-13,,1),1,FALSE)),TRUE,VLOOKUP(FALSE,OFFSET(TableB2.b.5,0,CELL("col",P43)-13,,1),1,FALSE))</f>
        <v>1</v>
      </c>
    </row>
    <row r="44" spans="1:16" x14ac:dyDescent="0.3">
      <c r="B44" s="773" t="s">
        <v>330</v>
      </c>
      <c r="C44" s="773"/>
      <c r="E44" s="770"/>
      <c r="F44" s="771"/>
      <c r="G44" s="771"/>
      <c r="H44" s="771"/>
      <c r="I44" s="771"/>
      <c r="J44" s="771"/>
      <c r="K44" s="771"/>
      <c r="L44" s="771"/>
      <c r="M44" s="771"/>
      <c r="N44" s="771"/>
      <c r="O44" s="771"/>
      <c r="P44" s="104" t="b">
        <f ca="1">IF(ISNA(VLOOKUP(FALSE,OFFSET(TableB2.b.6,0,CELL("col",P44)-13,,1),1,FALSE)),TRUE,VLOOKUP(FALSE,OFFSET(TableB2.b.6,0,CELL("col",P44)-13,,1),1,FALSE))</f>
        <v>0</v>
      </c>
    </row>
    <row r="45" spans="1:16" x14ac:dyDescent="0.3">
      <c r="B45" s="773" t="s">
        <v>331</v>
      </c>
      <c r="C45" s="773"/>
      <c r="E45" s="770"/>
      <c r="F45" s="771"/>
      <c r="G45" s="771"/>
      <c r="H45" s="771"/>
      <c r="I45" s="771"/>
      <c r="J45" s="771"/>
      <c r="K45" s="771"/>
      <c r="L45" s="771"/>
      <c r="M45" s="771"/>
      <c r="N45" s="771"/>
      <c r="O45" s="771"/>
      <c r="P45" s="104" t="b">
        <f ca="1">IF(ISNA(VLOOKUP(FALSE,OFFSET(TableB2.b.7,0,CELL("col",P45)-13,,1),1,FALSE)),TRUE,VLOOKUP(FALSE,OFFSET(TableB2.b.7,0,CELL("col",P45)-13,,1),1,FALSE))</f>
        <v>1</v>
      </c>
    </row>
    <row r="46" spans="1:16" x14ac:dyDescent="0.3">
      <c r="B46" s="773" t="s">
        <v>336</v>
      </c>
      <c r="C46" s="773"/>
      <c r="E46" s="770"/>
      <c r="F46" s="771"/>
      <c r="G46" s="771"/>
      <c r="H46" s="771"/>
      <c r="I46" s="771"/>
      <c r="J46" s="771"/>
      <c r="K46" s="771"/>
      <c r="L46" s="771"/>
      <c r="M46" s="771"/>
      <c r="N46" s="771"/>
      <c r="O46" s="771"/>
      <c r="P46" s="104" t="b">
        <f ca="1">IF(ISNA(VLOOKUP(FALSE,OFFSET(TableB2.b.8,0,CELL("col",P46)-13,,1),1,FALSE)),TRUE,VLOOKUP(FALSE,OFFSET(TableB2.b.8,0,CELL("col",P46)-13,,1),1,FALSE))</f>
        <v>1</v>
      </c>
    </row>
    <row r="47" spans="1:16" x14ac:dyDescent="0.3">
      <c r="B47" s="773" t="s">
        <v>337</v>
      </c>
      <c r="C47" s="773"/>
      <c r="E47" s="770"/>
      <c r="F47" s="771"/>
      <c r="G47" s="771"/>
      <c r="H47" s="771"/>
      <c r="I47" s="771"/>
      <c r="J47" s="771"/>
      <c r="K47" s="771"/>
      <c r="L47" s="771"/>
      <c r="M47" s="771"/>
      <c r="N47" s="771"/>
      <c r="O47" s="771"/>
      <c r="P47" s="104" t="b">
        <f ca="1">IF(ISNA(VLOOKUP(FALSE,OFFSET(TableB2.b.9,0,CELL("col",P47)-13,,1),1,FALSE)),TRUE,VLOOKUP(FALSE,OFFSET(TableB2.b.9,0,CELL("col",P47)-13,,1),1,FALSE))</f>
        <v>1</v>
      </c>
    </row>
    <row r="48" spans="1:16" ht="15" thickBot="1" x14ac:dyDescent="0.35">
      <c r="B48" s="773" t="s">
        <v>338</v>
      </c>
      <c r="C48" s="773"/>
      <c r="E48" s="770"/>
      <c r="F48" s="771"/>
      <c r="G48" s="771"/>
      <c r="H48" s="771"/>
      <c r="I48" s="771"/>
      <c r="J48" s="771"/>
      <c r="K48" s="771"/>
      <c r="L48" s="771"/>
      <c r="M48" s="771"/>
      <c r="N48" s="771"/>
      <c r="O48" s="771"/>
      <c r="P48" s="278" t="b">
        <f ca="1">IF(ISNA(VLOOKUP(FALSE,OFFSET(TableB2.b.10,0,CELL("col",P48)-13,,1),1,FALSE)),TRUE,VLOOKUP(FALSE,OFFSET(TableB2.b.10,0,CELL("col",P48)-13,,1),1,FALSE))</f>
        <v>1</v>
      </c>
    </row>
    <row r="49" spans="1:16" ht="15" thickBot="1" x14ac:dyDescent="0.35">
      <c r="A49" s="773" t="str">
        <f>'B. Implementation Plan'!A244</f>
        <v>Table B.2.c:  State-Level Infrastructure &amp; Supports</v>
      </c>
      <c r="B49" s="773"/>
      <c r="C49" s="773"/>
      <c r="E49" s="772"/>
      <c r="F49" s="772"/>
      <c r="G49" s="772"/>
      <c r="H49" s="772"/>
      <c r="I49" s="772"/>
      <c r="J49" s="772"/>
      <c r="K49" s="772"/>
      <c r="L49" s="772"/>
      <c r="M49" s="772"/>
      <c r="N49" s="772"/>
      <c r="O49" s="772"/>
      <c r="P49" s="291"/>
    </row>
    <row r="50" spans="1:16" x14ac:dyDescent="0.3">
      <c r="B50" s="773" t="s">
        <v>315</v>
      </c>
      <c r="C50" s="773"/>
      <c r="E50" s="770"/>
      <c r="F50" s="771"/>
      <c r="G50" s="771"/>
      <c r="H50" s="771"/>
      <c r="I50" s="771"/>
      <c r="J50" s="771"/>
      <c r="K50" s="771"/>
      <c r="L50" s="771"/>
      <c r="M50" s="771"/>
      <c r="N50" s="771"/>
      <c r="O50" s="771"/>
      <c r="P50" s="293" t="b">
        <f ca="1">IF(ISNA(VLOOKUP(FALSE,OFFSET(TableB2.c.1,0,CELL("col",P50)-13,,1),1,FALSE)),TRUE,VLOOKUP(FALSE,OFFSET(TableB2.c.1,0,CELL("col",P50)-13,,1),1,FALSE))</f>
        <v>1</v>
      </c>
    </row>
    <row r="51" spans="1:16" x14ac:dyDescent="0.3">
      <c r="B51" s="773" t="s">
        <v>316</v>
      </c>
      <c r="C51" s="773"/>
      <c r="E51" s="770"/>
      <c r="F51" s="771"/>
      <c r="G51" s="771"/>
      <c r="H51" s="771"/>
      <c r="I51" s="771"/>
      <c r="J51" s="771"/>
      <c r="K51" s="771"/>
      <c r="L51" s="771"/>
      <c r="M51" s="771"/>
      <c r="N51" s="771"/>
      <c r="O51" s="771"/>
      <c r="P51" s="104" t="b">
        <f ca="1">IF(ISNA(VLOOKUP(FALSE,OFFSET(TableB2.c.2,0,CELL("col",P51)-13,,1),1,FALSE)),TRUE,VLOOKUP(FALSE,OFFSET(TableB2.c.2,0,CELL("col",P51)-13,,1),1,FALSE))</f>
        <v>1</v>
      </c>
    </row>
    <row r="52" spans="1:16" x14ac:dyDescent="0.3">
      <c r="B52" s="773" t="s">
        <v>317</v>
      </c>
      <c r="C52" s="773"/>
      <c r="E52" s="770"/>
      <c r="F52" s="771"/>
      <c r="G52" s="771"/>
      <c r="H52" s="771"/>
      <c r="I52" s="771"/>
      <c r="J52" s="771"/>
      <c r="K52" s="771"/>
      <c r="L52" s="771"/>
      <c r="M52" s="771"/>
      <c r="N52" s="771"/>
      <c r="O52" s="771"/>
      <c r="P52" s="104" t="b">
        <f ca="1">IF(ISNA(VLOOKUP(FALSE,OFFSET(TableB2.c.3,0,CELL("col",P52)-13,,1),1,FALSE)),TRUE,VLOOKUP(FALSE,OFFSET(TableB2.c.3,0,CELL("col",P52)-13,,1),1,FALSE))</f>
        <v>1</v>
      </c>
    </row>
    <row r="53" spans="1:16" x14ac:dyDescent="0.3">
      <c r="B53" s="773" t="s">
        <v>423</v>
      </c>
      <c r="C53" s="773"/>
      <c r="E53" s="770"/>
      <c r="F53" s="771"/>
      <c r="G53" s="771"/>
      <c r="H53" s="771"/>
      <c r="I53" s="771"/>
      <c r="J53" s="771"/>
      <c r="K53" s="771"/>
      <c r="L53" s="771"/>
      <c r="M53" s="771"/>
      <c r="N53" s="771"/>
      <c r="O53" s="771"/>
      <c r="P53" s="104" t="b">
        <f ca="1">IF(ISNA(VLOOKUP(FALSE,OFFSET(TableB2.c.4,0,CELL("col",P53)-13,,1),1,FALSE)),TRUE,VLOOKUP(FALSE,OFFSET(TableB2.c.4,0,CELL("col",P53)-13,,1),1,FALSE))</f>
        <v>1</v>
      </c>
    </row>
    <row r="54" spans="1:16" x14ac:dyDescent="0.3">
      <c r="B54" s="773" t="s">
        <v>318</v>
      </c>
      <c r="C54" s="773"/>
      <c r="E54" s="770"/>
      <c r="F54" s="771"/>
      <c r="G54" s="771"/>
      <c r="H54" s="771"/>
      <c r="I54" s="771"/>
      <c r="J54" s="771"/>
      <c r="K54" s="771"/>
      <c r="L54" s="771"/>
      <c r="M54" s="771"/>
      <c r="N54" s="771"/>
      <c r="O54" s="771"/>
      <c r="P54" s="104" t="b">
        <f ca="1">IF(ISNA(VLOOKUP(FALSE,OFFSET(TableB2.c.5,0,CELL("col",P54)-13,,1),1,FALSE)),TRUE,VLOOKUP(FALSE,OFFSET(TableB2.c.5,0,CELL("col",P54)-13,,1),1,FALSE))</f>
        <v>1</v>
      </c>
    </row>
    <row r="55" spans="1:16" x14ac:dyDescent="0.3">
      <c r="B55" s="773" t="s">
        <v>319</v>
      </c>
      <c r="C55" s="773"/>
      <c r="E55" s="770"/>
      <c r="F55" s="771"/>
      <c r="G55" s="771"/>
      <c r="H55" s="771"/>
      <c r="I55" s="771"/>
      <c r="J55" s="771"/>
      <c r="K55" s="771"/>
      <c r="L55" s="771"/>
      <c r="M55" s="771"/>
      <c r="N55" s="771"/>
      <c r="O55" s="771"/>
      <c r="P55" s="104" t="b">
        <f ca="1">IF(ISNA(VLOOKUP(FALSE,OFFSET(TableB2.c.6,0,CELL("col",P55)-13,,1),1,FALSE)),TRUE,VLOOKUP(FALSE,OFFSET(TableB2.c.6,0,CELL("col",P55)-13,,1),1,FALSE))</f>
        <v>1</v>
      </c>
    </row>
    <row r="56" spans="1:16" x14ac:dyDescent="0.3">
      <c r="B56" s="773" t="s">
        <v>320</v>
      </c>
      <c r="C56" s="773"/>
      <c r="E56" s="770"/>
      <c r="F56" s="771"/>
      <c r="G56" s="771"/>
      <c r="H56" s="771"/>
      <c r="I56" s="771"/>
      <c r="J56" s="771"/>
      <c r="K56" s="771"/>
      <c r="L56" s="771"/>
      <c r="M56" s="771"/>
      <c r="N56" s="771"/>
      <c r="O56" s="771"/>
      <c r="P56" s="104" t="b">
        <f ca="1">IF(ISNA(VLOOKUP(FALSE,OFFSET(TableB2.c.7,0,CELL("col",P56)-13,,1),1,FALSE)),TRUE,VLOOKUP(FALSE,OFFSET(TableB2.c.7,0,CELL("col",P56)-13,,1),1,FALSE))</f>
        <v>1</v>
      </c>
    </row>
    <row r="57" spans="1:16" x14ac:dyDescent="0.3">
      <c r="B57" s="773" t="s">
        <v>321</v>
      </c>
      <c r="C57" s="773"/>
      <c r="E57" s="770"/>
      <c r="F57" s="771"/>
      <c r="G57" s="771"/>
      <c r="H57" s="771"/>
      <c r="I57" s="771"/>
      <c r="J57" s="771"/>
      <c r="K57" s="771"/>
      <c r="L57" s="771"/>
      <c r="M57" s="771"/>
      <c r="N57" s="771"/>
      <c r="O57" s="771"/>
      <c r="P57" s="104" t="b">
        <f ca="1">IF(ISNA(VLOOKUP(FALSE,OFFSET(TableB2.c.8,0,CELL("col",P57)-13,,1),1,FALSE)),TRUE,VLOOKUP(FALSE,OFFSET(TableB2.c.8,0,CELL("col",P57)-13,,1),1,FALSE))</f>
        <v>1</v>
      </c>
    </row>
    <row r="58" spans="1:16" x14ac:dyDescent="0.3">
      <c r="B58" s="773" t="s">
        <v>322</v>
      </c>
      <c r="C58" s="773"/>
      <c r="E58" s="770"/>
      <c r="F58" s="771"/>
      <c r="G58" s="771"/>
      <c r="H58" s="771"/>
      <c r="I58" s="771"/>
      <c r="J58" s="771"/>
      <c r="K58" s="771"/>
      <c r="L58" s="771"/>
      <c r="M58" s="771"/>
      <c r="N58" s="771"/>
      <c r="O58" s="771"/>
      <c r="P58" s="104" t="b">
        <f ca="1">IF(ISNA(VLOOKUP(FALSE,OFFSET(TableB2.c.9,0,CELL("col",P58)-13,,1),1,FALSE)),TRUE,VLOOKUP(FALSE,OFFSET(TableB2.c.9,0,CELL("col",P58)-13,,1),1,FALSE))</f>
        <v>1</v>
      </c>
    </row>
    <row r="59" spans="1:16" ht="15" thickBot="1" x14ac:dyDescent="0.35">
      <c r="B59" s="773" t="s">
        <v>323</v>
      </c>
      <c r="C59" s="773"/>
      <c r="E59" s="770"/>
      <c r="F59" s="771"/>
      <c r="G59" s="771"/>
      <c r="H59" s="771"/>
      <c r="I59" s="771"/>
      <c r="J59" s="771"/>
      <c r="K59" s="771"/>
      <c r="L59" s="771"/>
      <c r="M59" s="771"/>
      <c r="N59" s="771"/>
      <c r="O59" s="771"/>
      <c r="P59" s="278" t="b">
        <f ca="1">IF(ISNA(VLOOKUP(FALSE,OFFSET(TableB2.c.10,0,CELL("col",P59)-13,,1),1,FALSE)),TRUE,VLOOKUP(FALSE,OFFSET(TableB2.c.10,0,CELL("col",P59)-13,,1),1,FALSE))</f>
        <v>1</v>
      </c>
    </row>
    <row r="60" spans="1:16" ht="15" thickBot="1" x14ac:dyDescent="0.35">
      <c r="A60" s="773" t="s">
        <v>309</v>
      </c>
      <c r="B60" s="773"/>
      <c r="C60" s="773"/>
      <c r="E60" s="772"/>
      <c r="F60" s="772"/>
      <c r="G60" s="772"/>
      <c r="H60" s="772"/>
      <c r="I60" s="772"/>
      <c r="J60" s="772"/>
      <c r="K60" s="772"/>
      <c r="L60" s="772"/>
      <c r="M60" s="772"/>
      <c r="N60" s="772"/>
      <c r="O60" s="772"/>
      <c r="P60" s="291"/>
    </row>
    <row r="61" spans="1:16" x14ac:dyDescent="0.3">
      <c r="B61" s="773" t="s">
        <v>324</v>
      </c>
      <c r="C61" s="773"/>
      <c r="E61" s="770" t="s">
        <v>1096</v>
      </c>
      <c r="F61" s="771"/>
      <c r="G61" s="771"/>
      <c r="H61" s="771"/>
      <c r="I61" s="771"/>
      <c r="J61" s="771"/>
      <c r="K61" s="771"/>
      <c r="L61" s="771"/>
      <c r="M61" s="771"/>
      <c r="N61" s="771"/>
      <c r="O61" s="771"/>
      <c r="P61" s="293" t="b">
        <f ca="1">IF(ISNA(VLOOKUP(FALSE,OFFSET(TableB2.d.1,0,CELL("col",P61)-13,,1),1,FALSE)),TRUE,VLOOKUP(FALSE,OFFSET(TableB2.d.1,0,CELL("col",P61)-13,,1),1,FALSE))</f>
        <v>1</v>
      </c>
    </row>
    <row r="62" spans="1:16" x14ac:dyDescent="0.3">
      <c r="B62" s="773" t="s">
        <v>325</v>
      </c>
      <c r="C62" s="773"/>
      <c r="E62" s="770"/>
      <c r="F62" s="771"/>
      <c r="G62" s="771"/>
      <c r="H62" s="771"/>
      <c r="I62" s="771"/>
      <c r="J62" s="771"/>
      <c r="K62" s="771"/>
      <c r="L62" s="771"/>
      <c r="M62" s="771"/>
      <c r="N62" s="771"/>
      <c r="O62" s="771"/>
      <c r="P62" s="104" t="b">
        <f ca="1">IF(ISNA(VLOOKUP(FALSE,OFFSET(TableB2.d.2,0,CELL("col",P62)-13,,1),1,FALSE)),TRUE,VLOOKUP(FALSE,OFFSET(TableB2.d.2,0,CELL("col",P62)-13,,1),1,FALSE))</f>
        <v>1</v>
      </c>
    </row>
    <row r="63" spans="1:16" x14ac:dyDescent="0.3">
      <c r="B63" s="773" t="s">
        <v>326</v>
      </c>
      <c r="C63" s="773"/>
      <c r="E63" s="770"/>
      <c r="F63" s="771"/>
      <c r="G63" s="771"/>
      <c r="H63" s="771"/>
      <c r="I63" s="771"/>
      <c r="J63" s="771"/>
      <c r="K63" s="771"/>
      <c r="L63" s="771"/>
      <c r="M63" s="771"/>
      <c r="N63" s="771"/>
      <c r="O63" s="771"/>
      <c r="P63" s="104" t="b">
        <f ca="1">IF(ISNA(VLOOKUP(FALSE,OFFSET(TableB2.d.3,0,CELL("col",P63)-13,,1),1,FALSE)),TRUE,VLOOKUP(FALSE,OFFSET(TableB2.d.3,0,CELL("col",P63)-13,,1),1,FALSE))</f>
        <v>1</v>
      </c>
    </row>
    <row r="64" spans="1:16" ht="15" thickBot="1" x14ac:dyDescent="0.35">
      <c r="B64" s="773" t="s">
        <v>327</v>
      </c>
      <c r="C64" s="773"/>
      <c r="E64" s="770"/>
      <c r="F64" s="771"/>
      <c r="G64" s="771"/>
      <c r="H64" s="771"/>
      <c r="I64" s="771"/>
      <c r="J64" s="771"/>
      <c r="K64" s="771"/>
      <c r="L64" s="771"/>
      <c r="M64" s="771"/>
      <c r="N64" s="771"/>
      <c r="O64" s="771"/>
      <c r="P64" s="278" t="b">
        <f ca="1">IF(ISNA(VLOOKUP(FALSE,OFFSET(TableB2.d.4,0,CELL("col",P64)-13,,1),1,FALSE)),TRUE,VLOOKUP(FALSE,OFFSET(TableB2.d.4,0,CELL("col",P64)-13,,1),1,FALSE))</f>
        <v>1</v>
      </c>
    </row>
    <row r="65" spans="16:16" x14ac:dyDescent="0.3">
      <c r="P65"/>
    </row>
    <row r="66" spans="16:16" x14ac:dyDescent="0.3">
      <c r="P66"/>
    </row>
    <row r="67" spans="16:16" x14ac:dyDescent="0.3">
      <c r="P67"/>
    </row>
    <row r="68" spans="16:16" x14ac:dyDescent="0.3">
      <c r="P68"/>
    </row>
    <row r="69" spans="16:16" x14ac:dyDescent="0.3">
      <c r="P69"/>
    </row>
    <row r="70" spans="16:16" x14ac:dyDescent="0.3">
      <c r="P70"/>
    </row>
    <row r="71" spans="16:16" x14ac:dyDescent="0.3">
      <c r="P71"/>
    </row>
    <row r="72" spans="16:16" x14ac:dyDescent="0.3">
      <c r="P72"/>
    </row>
    <row r="73" spans="16:16" x14ac:dyDescent="0.3">
      <c r="P73"/>
    </row>
    <row r="74" spans="16:16" x14ac:dyDescent="0.3">
      <c r="P74"/>
    </row>
    <row r="75" spans="16:16" x14ac:dyDescent="0.3">
      <c r="P75"/>
    </row>
    <row r="76" spans="16:16" x14ac:dyDescent="0.3">
      <c r="P76"/>
    </row>
    <row r="77" spans="16:16" x14ac:dyDescent="0.3">
      <c r="P77"/>
    </row>
    <row r="78" spans="16:16" x14ac:dyDescent="0.3">
      <c r="P78"/>
    </row>
    <row r="79" spans="16:16" x14ac:dyDescent="0.3">
      <c r="P79"/>
    </row>
    <row r="80" spans="16:16" x14ac:dyDescent="0.3">
      <c r="P80"/>
    </row>
    <row r="81" spans="16:16" x14ac:dyDescent="0.3">
      <c r="P81"/>
    </row>
    <row r="82" spans="16:16" x14ac:dyDescent="0.3">
      <c r="P82"/>
    </row>
    <row r="83" spans="16:16" x14ac:dyDescent="0.3">
      <c r="P83"/>
    </row>
    <row r="84" spans="16:16" x14ac:dyDescent="0.3">
      <c r="P84"/>
    </row>
    <row r="85" spans="16:16" x14ac:dyDescent="0.3">
      <c r="P85"/>
    </row>
    <row r="86" spans="16:16" x14ac:dyDescent="0.3">
      <c r="P86"/>
    </row>
    <row r="87" spans="16:16" x14ac:dyDescent="0.3">
      <c r="P87"/>
    </row>
    <row r="88" spans="16:16" x14ac:dyDescent="0.3">
      <c r="P88"/>
    </row>
    <row r="89" spans="16:16" x14ac:dyDescent="0.3">
      <c r="P89"/>
    </row>
    <row r="90" spans="16:16" x14ac:dyDescent="0.3">
      <c r="P90"/>
    </row>
    <row r="91" spans="16:16" x14ac:dyDescent="0.3">
      <c r="P91"/>
    </row>
    <row r="92" spans="16:16" x14ac:dyDescent="0.3">
      <c r="P92"/>
    </row>
    <row r="93" spans="16:16" x14ac:dyDescent="0.3">
      <c r="P93"/>
    </row>
    <row r="94" spans="16:16" x14ac:dyDescent="0.3">
      <c r="P94"/>
    </row>
    <row r="95" spans="16:16" x14ac:dyDescent="0.3">
      <c r="P95"/>
    </row>
    <row r="96" spans="16:16" x14ac:dyDescent="0.3">
      <c r="P96"/>
    </row>
    <row r="97" spans="16:16" x14ac:dyDescent="0.3">
      <c r="P97"/>
    </row>
    <row r="98" spans="16:16" x14ac:dyDescent="0.3">
      <c r="P98"/>
    </row>
    <row r="99" spans="16:16" x14ac:dyDescent="0.3">
      <c r="P99"/>
    </row>
    <row r="100" spans="16:16" x14ac:dyDescent="0.3">
      <c r="P100"/>
    </row>
    <row r="101" spans="16:16" x14ac:dyDescent="0.3">
      <c r="P101"/>
    </row>
    <row r="102" spans="16:16" x14ac:dyDescent="0.3">
      <c r="P102"/>
    </row>
    <row r="103" spans="16:16" x14ac:dyDescent="0.3">
      <c r="P103"/>
    </row>
    <row r="104" spans="16:16" x14ac:dyDescent="0.3">
      <c r="P104"/>
    </row>
    <row r="105" spans="16:16" x14ac:dyDescent="0.3">
      <c r="P105"/>
    </row>
    <row r="106" spans="16:16" ht="14.55" customHeight="1" x14ac:dyDescent="0.3">
      <c r="P106"/>
    </row>
    <row r="107" spans="16:16" ht="14.55" customHeight="1" x14ac:dyDescent="0.3">
      <c r="P107"/>
    </row>
    <row r="108" spans="16:16" x14ac:dyDescent="0.3">
      <c r="P108"/>
    </row>
    <row r="109" spans="16:16" x14ac:dyDescent="0.3">
      <c r="P109"/>
    </row>
    <row r="110" spans="16:16" x14ac:dyDescent="0.3">
      <c r="P110"/>
    </row>
    <row r="111" spans="16:16" x14ac:dyDescent="0.3">
      <c r="P111"/>
    </row>
    <row r="112" spans="16:16" x14ac:dyDescent="0.3">
      <c r="P112"/>
    </row>
    <row r="113" spans="16:16" x14ac:dyDescent="0.3">
      <c r="P113"/>
    </row>
    <row r="114" spans="16:16" x14ac:dyDescent="0.3">
      <c r="P114"/>
    </row>
    <row r="115" spans="16:16" x14ac:dyDescent="0.3">
      <c r="P115"/>
    </row>
    <row r="116" spans="16:16" x14ac:dyDescent="0.3">
      <c r="P116"/>
    </row>
    <row r="117" spans="16:16" x14ac:dyDescent="0.3">
      <c r="P117"/>
    </row>
    <row r="118" spans="16:16" x14ac:dyDescent="0.3">
      <c r="P118"/>
    </row>
    <row r="119" spans="16:16" x14ac:dyDescent="0.3">
      <c r="P119"/>
    </row>
  </sheetData>
  <mergeCells count="63">
    <mergeCell ref="E3:O3"/>
    <mergeCell ref="E5:O5"/>
    <mergeCell ref="B44:C44"/>
    <mergeCell ref="A35:C35"/>
    <mergeCell ref="A36:C36"/>
    <mergeCell ref="E35:O35"/>
    <mergeCell ref="A38:C38"/>
    <mergeCell ref="B39:C39"/>
    <mergeCell ref="B40:C40"/>
    <mergeCell ref="B41:C41"/>
    <mergeCell ref="B42:C42"/>
    <mergeCell ref="B43:C43"/>
    <mergeCell ref="E4:O4"/>
    <mergeCell ref="A37:C37"/>
    <mergeCell ref="E37:O37"/>
    <mergeCell ref="B56:C56"/>
    <mergeCell ref="B45:C45"/>
    <mergeCell ref="B46:C46"/>
    <mergeCell ref="B47:C47"/>
    <mergeCell ref="B48:C48"/>
    <mergeCell ref="A49:C49"/>
    <mergeCell ref="B50:C50"/>
    <mergeCell ref="B51:C51"/>
    <mergeCell ref="B52:C52"/>
    <mergeCell ref="B53:C53"/>
    <mergeCell ref="B54:C54"/>
    <mergeCell ref="B55:C55"/>
    <mergeCell ref="B63:C63"/>
    <mergeCell ref="B64:C64"/>
    <mergeCell ref="E36:O36"/>
    <mergeCell ref="E38:O38"/>
    <mergeCell ref="E39:O39"/>
    <mergeCell ref="E40:O40"/>
    <mergeCell ref="E41:O41"/>
    <mergeCell ref="E42:O42"/>
    <mergeCell ref="E43:O43"/>
    <mergeCell ref="E44:O44"/>
    <mergeCell ref="B57:C57"/>
    <mergeCell ref="B58:C58"/>
    <mergeCell ref="B59:C59"/>
    <mergeCell ref="A60:C60"/>
    <mergeCell ref="B61:C61"/>
    <mergeCell ref="B62:C62"/>
    <mergeCell ref="E56:O56"/>
    <mergeCell ref="E45:O45"/>
    <mergeCell ref="E46:O46"/>
    <mergeCell ref="E47:O47"/>
    <mergeCell ref="E48:O48"/>
    <mergeCell ref="E49:O49"/>
    <mergeCell ref="E50:O50"/>
    <mergeCell ref="E51:O51"/>
    <mergeCell ref="E52:O52"/>
    <mergeCell ref="E53:O53"/>
    <mergeCell ref="E54:O54"/>
    <mergeCell ref="E55:O55"/>
    <mergeCell ref="E63:O63"/>
    <mergeCell ref="E64:O64"/>
    <mergeCell ref="E57:O57"/>
    <mergeCell ref="E58:O58"/>
    <mergeCell ref="E59:O59"/>
    <mergeCell ref="E60:O60"/>
    <mergeCell ref="E61:O61"/>
    <mergeCell ref="E62:O62"/>
  </mergeCells>
  <conditionalFormatting sqref="P39:P48 P50:P59 P61:P64 P36:P37">
    <cfRule type="cellIs" dxfId="13" priority="3" operator="equal">
      <formula>FALSE</formula>
    </cfRule>
    <cfRule type="cellIs" dxfId="12" priority="4" operator="equal">
      <formula>TRUE</formula>
    </cfRule>
  </conditionalFormatting>
  <hyperlinks>
    <hyperlink ref="A35" location="TableB1" display="Table B.1:  Model Outputs and Key Performance Metrics"/>
    <hyperlink ref="A36" location="TableB2.a" display="Table B.2.a:  Annual Preschool Slot Plan"/>
    <hyperlink ref="A38:C38" location="TableB2.b" display="Table B.2.b:  NIEER Preschool Quality Standards and Benchmarks"/>
    <hyperlink ref="B39:C39" location="TableB2.b.1" display="1. Early Learning Standards"/>
    <hyperlink ref="B40:C40" location="TableB2.b.2" display="2.  Maximum Class Size"/>
    <hyperlink ref="B41:C41" location="TableB2.b.3" display="3.  Staff-Child Ratio"/>
    <hyperlink ref="B42:C42" location="TableB2.b.4" display="4. Monitoring"/>
    <hyperlink ref="B43:C43" location="TableB2.b.5" display="5. Teacher Degree"/>
    <hyperlink ref="B44:C44" location="TableB2.b.6" display="6. Teacher Specialized Training"/>
    <hyperlink ref="B45:C45" location="TableB2.b.7" display="7. Assistant Teacher Degree"/>
    <hyperlink ref="B46:C46" location="TableB2.b.8" display="8. Teacher In-Service"/>
    <hyperlink ref="B47:C47" location="TableB2.b.9" display="9. Child Meals"/>
    <hyperlink ref="B48:C48" location="TableB2.b.10" display="10. Screening/Referral and Support Services"/>
    <hyperlink ref="A49:C49" location="TableB2.c" display="TableB2.c"/>
    <hyperlink ref="B50:C50" location="TableB2.c.1" display="1. Annual Inflation Factor on Unit Costs (Use 0% to Model Real vs. Nominal Dollars)"/>
    <hyperlink ref="B51:C51" location="TableB2.c.2" display="2. Baseline Administrative Cost"/>
    <hyperlink ref="B52:C52" location="TableB2.c.3" display="3. Curriculum Standards"/>
    <hyperlink ref="B53:C53" location="TableB2.c.4" display="4. Coaches Training"/>
    <hyperlink ref="B54:C54" location="TableB2.c.5" display="5. Ratings &amp; Monitoring"/>
    <hyperlink ref="B55:C55" location="TableB2.c.6" display="6. Professional Development"/>
    <hyperlink ref="B56:C56" location="TableB2.c.7" display="7. Capacity Building"/>
    <hyperlink ref="B57:C57" location="TableB2.c.8" display="8. System Supports"/>
    <hyperlink ref="B58:C58" location="TableB2.c.9" display="9. Technical Assistance"/>
    <hyperlink ref="B59:C59" location="TableB2.c.10" display="10. Program Evaluation"/>
    <hyperlink ref="A60:C60" location="TableB2.d" display="Table B.2.d:  Provider-Level Direct &amp; Indirect Services"/>
    <hyperlink ref="B61:C61" location="TableB2.d.1" display="1. Personnel Costs"/>
    <hyperlink ref="B62:C62" location="TableB2.d.2" display="2. Non-Personnel Costs"/>
    <hyperlink ref="B63:C63" location="TableB2.d.3" display="3. Other Direct Costs"/>
    <hyperlink ref="B64:C64" location="TableB2.d.4" display="4. Indirect Costs"/>
    <hyperlink ref="A36:C36" location="TableB2.a.1" display="Table B.2.a.1:  Annual Preschool Slot Plan"/>
    <hyperlink ref="A37" location="TableB2.a.2" display="Table B.2.a.2:  Available Funding Streams"/>
  </hyperlinks>
  <pageMargins left="0.7" right="0.7" top="0.75" bottom="0.75" header="0.3" footer="0.3"/>
  <pageSetup scale="56" orientation="landscape"/>
  <rowBreaks count="1" manualBreakCount="1">
    <brk id="103"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99"/>
    <outlinePr summaryBelow="0"/>
    <pageSetUpPr fitToPage="1"/>
  </sheetPr>
  <dimension ref="A1:V494"/>
  <sheetViews>
    <sheetView tabSelected="1" topLeftCell="C1" zoomScale="85" zoomScaleNormal="85" zoomScalePageLayoutView="94" workbookViewId="0">
      <pane ySplit="18" topLeftCell="A61" activePane="bottomLeft" state="frozen"/>
      <selection pane="bottomLeft" activeCell="K67" sqref="K67"/>
    </sheetView>
  </sheetViews>
  <sheetFormatPr defaultColWidth="8.77734375" defaultRowHeight="14.4" outlineLevelRow="1" outlineLevelCol="1" x14ac:dyDescent="0.3"/>
  <cols>
    <col min="1" max="2" width="4.6640625" customWidth="1"/>
    <col min="3" max="3" width="89.6640625" bestFit="1" customWidth="1"/>
    <col min="4" max="4" width="8.6640625" style="280" customWidth="1" outlineLevel="1"/>
    <col min="5" max="5" width="12.21875" customWidth="1" outlineLevel="1"/>
    <col min="6" max="6" width="12.33203125" customWidth="1" outlineLevel="1"/>
    <col min="7" max="7" width="11.6640625" customWidth="1" outlineLevel="1"/>
    <col min="8" max="8" width="10.6640625" customWidth="1" outlineLevel="1"/>
    <col min="9" max="9" width="11.6640625" customWidth="1" outlineLevel="1"/>
    <col min="10" max="11" width="11.88671875" customWidth="1" outlineLevel="1"/>
    <col min="12" max="12" width="12.109375" customWidth="1" outlineLevel="1"/>
    <col min="13" max="13" width="12.6640625" customWidth="1" outlineLevel="1"/>
    <col min="14" max="14" width="11.88671875" customWidth="1" outlineLevel="1"/>
    <col min="15" max="15" width="11.6640625" customWidth="1" outlineLevel="1"/>
    <col min="16" max="16" width="15.6640625" style="2" customWidth="1"/>
    <col min="17" max="17" width="18.21875" bestFit="1" customWidth="1"/>
    <col min="19" max="19" width="10.33203125" bestFit="1" customWidth="1"/>
    <col min="20" max="20" width="11.33203125" bestFit="1" customWidth="1"/>
    <col min="21" max="21" width="10.5546875" customWidth="1"/>
    <col min="22" max="22" width="11.5546875" bestFit="1" customWidth="1"/>
  </cols>
  <sheetData>
    <row r="1" spans="1:16" ht="15.6" x14ac:dyDescent="0.3">
      <c r="A1" s="48" t="s">
        <v>150</v>
      </c>
      <c r="B1" s="42"/>
      <c r="C1" s="42"/>
      <c r="D1" s="279"/>
      <c r="E1" s="42"/>
      <c r="F1" s="42"/>
      <c r="G1" s="42"/>
      <c r="H1" s="42"/>
      <c r="I1" s="42"/>
      <c r="J1" s="42"/>
      <c r="K1" s="42"/>
      <c r="L1" s="42"/>
      <c r="M1" s="42"/>
      <c r="N1" s="42"/>
      <c r="O1" s="42"/>
      <c r="P1" s="47"/>
    </row>
    <row r="2" spans="1:16" ht="19.95" customHeight="1" thickBot="1" x14ac:dyDescent="0.35">
      <c r="A2" s="48"/>
      <c r="B2" s="42"/>
      <c r="C2" s="42"/>
      <c r="D2" s="279"/>
      <c r="E2" s="42"/>
      <c r="F2" s="42"/>
      <c r="G2" s="42"/>
      <c r="H2" s="42"/>
      <c r="I2" s="42"/>
      <c r="J2" s="42"/>
      <c r="K2" s="42"/>
      <c r="L2" s="42"/>
      <c r="M2" s="42"/>
      <c r="N2" s="42"/>
      <c r="O2" s="42"/>
      <c r="P2" s="47"/>
    </row>
    <row r="3" spans="1:16" s="31" customFormat="1" ht="18" x14ac:dyDescent="0.35">
      <c r="C3" s="32" t="s">
        <v>34</v>
      </c>
      <c r="D3" s="280"/>
      <c r="E3" s="778" t="s">
        <v>1108</v>
      </c>
      <c r="F3" s="779"/>
      <c r="G3" s="779"/>
      <c r="H3" s="779"/>
      <c r="I3" s="779"/>
      <c r="J3" s="779"/>
      <c r="K3" s="779"/>
      <c r="L3" s="779"/>
      <c r="M3" s="779"/>
      <c r="N3" s="779"/>
      <c r="O3" s="779"/>
      <c r="P3" s="75" t="str">
        <f>E3</f>
        <v>Kentucky Preschool Program - Intermediate</v>
      </c>
    </row>
    <row r="4" spans="1:16" s="31" customFormat="1" ht="18" x14ac:dyDescent="0.35">
      <c r="C4" s="32" t="s">
        <v>432</v>
      </c>
      <c r="D4" s="280"/>
      <c r="E4" s="778" t="s">
        <v>1085</v>
      </c>
      <c r="F4" s="779"/>
      <c r="G4" s="779"/>
      <c r="H4" s="779"/>
      <c r="I4" s="779"/>
      <c r="J4" s="779"/>
      <c r="K4" s="779"/>
      <c r="L4" s="779"/>
      <c r="M4" s="779"/>
      <c r="N4" s="779"/>
      <c r="O4" s="779"/>
      <c r="P4" s="350" t="str">
        <f>E4</f>
        <v>na</v>
      </c>
    </row>
    <row r="5" spans="1:16" s="31" customFormat="1" ht="18.600000000000001" thickBot="1" x14ac:dyDescent="0.4">
      <c r="C5" s="32" t="s">
        <v>17</v>
      </c>
      <c r="D5" s="280"/>
      <c r="E5" s="778" t="s">
        <v>268</v>
      </c>
      <c r="F5" s="779"/>
      <c r="G5" s="779"/>
      <c r="H5" s="779"/>
      <c r="I5" s="779"/>
      <c r="J5" s="779"/>
      <c r="K5" s="779"/>
      <c r="L5" s="779"/>
      <c r="M5" s="779"/>
      <c r="N5" s="779"/>
      <c r="O5" s="779"/>
      <c r="P5" s="76" t="str">
        <f>E5</f>
        <v>Kentucky, KY</v>
      </c>
    </row>
    <row r="7" spans="1:16" ht="18" x14ac:dyDescent="0.35">
      <c r="A7" s="239" t="s">
        <v>306</v>
      </c>
      <c r="B7" s="240"/>
      <c r="C7" s="241"/>
      <c r="E7" t="s">
        <v>1086</v>
      </c>
      <c r="F7" t="s">
        <v>1087</v>
      </c>
      <c r="G7" t="s">
        <v>1088</v>
      </c>
      <c r="H7" t="s">
        <v>1089</v>
      </c>
      <c r="I7" t="s">
        <v>1090</v>
      </c>
      <c r="J7" t="s">
        <v>1091</v>
      </c>
      <c r="K7" t="s">
        <v>1092</v>
      </c>
      <c r="L7" t="s">
        <v>1093</v>
      </c>
      <c r="M7" t="s">
        <v>1097</v>
      </c>
      <c r="N7" t="s">
        <v>1098</v>
      </c>
      <c r="O7" t="s">
        <v>1099</v>
      </c>
    </row>
    <row r="8" spans="1:16" ht="14.55" customHeight="1" thickBot="1" x14ac:dyDescent="0.35">
      <c r="A8" s="1"/>
      <c r="B8" s="1"/>
      <c r="D8" s="281"/>
      <c r="E8" s="242"/>
      <c r="F8" s="243"/>
      <c r="G8" s="243"/>
      <c r="H8" s="243"/>
      <c r="I8" s="243"/>
      <c r="J8" s="242" t="s">
        <v>59</v>
      </c>
      <c r="K8" s="243"/>
      <c r="L8" s="243"/>
      <c r="M8" s="243"/>
      <c r="N8" s="243"/>
      <c r="O8" s="244"/>
    </row>
    <row r="9" spans="1:16" x14ac:dyDescent="0.3">
      <c r="A9" s="1"/>
      <c r="B9" s="1"/>
      <c r="D9" s="282"/>
      <c r="E9" s="294">
        <v>0</v>
      </c>
      <c r="F9" s="294">
        <v>1</v>
      </c>
      <c r="G9" s="294">
        <v>2</v>
      </c>
      <c r="H9" s="294">
        <v>3</v>
      </c>
      <c r="I9" s="294">
        <v>4</v>
      </c>
      <c r="J9" s="294">
        <v>5</v>
      </c>
      <c r="K9" s="294">
        <v>6</v>
      </c>
      <c r="L9" s="294">
        <v>7</v>
      </c>
      <c r="M9" s="294">
        <v>8</v>
      </c>
      <c r="N9" s="294">
        <v>9</v>
      </c>
      <c r="O9" s="295">
        <v>10</v>
      </c>
      <c r="P9" s="516" t="s">
        <v>2</v>
      </c>
    </row>
    <row r="10" spans="1:16" s="67" customFormat="1" ht="15.45" customHeight="1" x14ac:dyDescent="0.3">
      <c r="A10" s="301" t="s">
        <v>628</v>
      </c>
      <c r="B10" s="302"/>
      <c r="C10" s="297"/>
      <c r="D10" s="283"/>
      <c r="E10" s="418">
        <f ca="1">IF('E. State-Level Infrastr&amp;Support'!E37&gt;0,'E. State-Level Infrastr&amp;Support'!E37,"")</f>
        <v>3493786.8421052634</v>
      </c>
      <c r="F10" s="418">
        <f ca="1">IF('E. State-Level Infrastr&amp;Support'!F37&gt;0,'E. State-Level Infrastr&amp;Support'!F37,"")</f>
        <v>3972068.3157894732</v>
      </c>
      <c r="G10" s="418">
        <f ca="1">IF('E. State-Level Infrastr&amp;Support'!G37&gt;0,'E. State-Level Infrastr&amp;Support'!G37,"")</f>
        <v>4582179.887831579</v>
      </c>
      <c r="H10" s="418">
        <f ca="1">IF('E. State-Level Infrastr&amp;Support'!H37&gt;0,'E. State-Level Infrastr&amp;Support'!H37,"")</f>
        <v>4437672.9035014734</v>
      </c>
      <c r="I10" s="418">
        <f ca="1">IF('E. State-Level Infrastr&amp;Support'!I37&gt;0,'E. State-Level Infrastr&amp;Support'!I37,"")</f>
        <v>4692398.4935426544</v>
      </c>
      <c r="J10" s="418">
        <f ca="1">IF('E. State-Level Infrastr&amp;Support'!J37&gt;0,'E. State-Level Infrastr&amp;Support'!J37,"")</f>
        <v>4832294.8858585767</v>
      </c>
      <c r="K10" s="418">
        <f ca="1">IF('E. State-Level Infrastr&amp;Support'!K37&gt;0,'E. State-Level Infrastr&amp;Support'!K37,"")</f>
        <v>4986720.4840489123</v>
      </c>
      <c r="L10" s="418">
        <f ca="1">IF('E. State-Level Infrastr&amp;Support'!L37&gt;0,'E. State-Level Infrastr&amp;Support'!L37,"")</f>
        <v>5139451.3911275081</v>
      </c>
      <c r="M10" s="418">
        <f ca="1">IF('E. State-Level Infrastr&amp;Support'!M37&gt;0,'E. State-Level Infrastr&amp;Support'!M37,"")</f>
        <v>5296391.1946684495</v>
      </c>
      <c r="N10" s="418">
        <f ca="1">IF('E. State-Level Infrastr&amp;Support'!N37&gt;0,'E. State-Level Infrastr&amp;Support'!N37,"")</f>
        <v>5327195.0937538398</v>
      </c>
      <c r="O10" s="418">
        <f ca="1">IF('E. State-Level Infrastr&amp;Support'!O37&gt;0,'E. State-Level Infrastr&amp;Support'!O37,"")</f>
        <v>5615531.423380808</v>
      </c>
      <c r="P10" s="596">
        <f ca="1">SUM(E10:O10)</f>
        <v>52375690.91560854</v>
      </c>
    </row>
    <row r="11" spans="1:16" s="67" customFormat="1" ht="15.45" customHeight="1" x14ac:dyDescent="0.3">
      <c r="A11" s="301" t="s">
        <v>629</v>
      </c>
      <c r="B11" s="302"/>
      <c r="C11" s="297"/>
      <c r="D11" s="283"/>
      <c r="E11" s="514">
        <f ca="1">IF('F. Provider-Level Services'!E121+'F. Provider-Level Services'!E285+'F. Provider-Level Services'!E449=0,"",'F. Provider-Level Services'!E121+'F. Provider-Level Services'!E285+'F. Provider-Level Services'!E449)</f>
        <v>117393234.20471108</v>
      </c>
      <c r="F11" s="514">
        <f ca="1">IF('F. Provider-Level Services'!F121+'F. Provider-Level Services'!F285+'F. Provider-Level Services'!F449=0,"",'F. Provider-Level Services'!F121+'F. Provider-Level Services'!F285+'F. Provider-Level Services'!F449)</f>
        <v>122082638.41577494</v>
      </c>
      <c r="G11" s="514">
        <f ca="1">IF('F. Provider-Level Services'!G121+'F. Provider-Level Services'!G285+'F. Provider-Level Services'!G449=0,"",'F. Provider-Level Services'!G121+'F. Provider-Level Services'!G285+'F. Provider-Level Services'!G449)</f>
        <v>126914998.13514839</v>
      </c>
      <c r="H11" s="514">
        <f ca="1">IF('F. Provider-Level Services'!H121+'F. Provider-Level Services'!H285+'F. Provider-Level Services'!H449=0,"",'F. Provider-Level Services'!H121+'F. Provider-Level Services'!H285+'F. Provider-Level Services'!H449)</f>
        <v>131696137.83126038</v>
      </c>
      <c r="I11" s="514">
        <f ca="1">IF('F. Provider-Level Services'!I121+'F. Provider-Level Services'!I285+'F. Provider-Level Services'!I449=0,"",'F. Provider-Level Services'!I121+'F. Provider-Level Services'!I285+'F. Provider-Level Services'!I449)</f>
        <v>136777984.42706999</v>
      </c>
      <c r="J11" s="514">
        <f ca="1">IF('F. Provider-Level Services'!J121+'F. Provider-Level Services'!J285+'F. Provider-Level Services'!J449=0,"",'F. Provider-Level Services'!J121+'F. Provider-Level Services'!J285+'F. Provider-Level Services'!J449)</f>
        <v>141963752.7797102</v>
      </c>
      <c r="K11" s="514">
        <f ca="1">IF('F. Provider-Level Services'!K121+'F. Provider-Level Services'!K285+'F. Provider-Level Services'!K449=0,"",'F. Provider-Level Services'!K121+'F. Provider-Level Services'!K285+'F. Provider-Level Services'!K449)</f>
        <v>147240503.91677395</v>
      </c>
      <c r="L11" s="514">
        <f ca="1">IF('F. Provider-Level Services'!L121+'F. Provider-Level Services'!L285+'F. Provider-Level Services'!L449=0,"",'F. Provider-Level Services'!L121+'F. Provider-Level Services'!L285+'F. Provider-Level Services'!L449)</f>
        <v>152675678.54778019</v>
      </c>
      <c r="M11" s="514">
        <f ca="1">IF('F. Provider-Level Services'!M121+'F. Provider-Level Services'!M285+'F. Provider-Level Services'!M449=0,"",'F. Provider-Level Services'!M121+'F. Provider-Level Services'!M285+'F. Provider-Level Services'!M449)</f>
        <v>158258407.07272124</v>
      </c>
      <c r="N11" s="514">
        <f ca="1">IF('F. Provider-Level Services'!N121+'F. Provider-Level Services'!N285+'F. Provider-Level Services'!N449=0,"",'F. Provider-Level Services'!N121+'F. Provider-Level Services'!N285+'F. Provider-Level Services'!N449)</f>
        <v>163775508.51624024</v>
      </c>
      <c r="O11" s="514">
        <f ca="1">IF('F. Provider-Level Services'!O121+'F. Provider-Level Services'!O285+'F. Provider-Level Services'!O449=0,"",'F. Provider-Level Services'!O121+'F. Provider-Level Services'!O285+'F. Provider-Level Services'!O449)</f>
        <v>169604616.34616196</v>
      </c>
      <c r="P11" s="596">
        <f ca="1">SUM(E11:O11)</f>
        <v>1568383460.1933522</v>
      </c>
    </row>
    <row r="12" spans="1:16" s="67" customFormat="1" ht="15.45" customHeight="1" x14ac:dyDescent="0.3">
      <c r="A12" s="298" t="s">
        <v>840</v>
      </c>
      <c r="B12" s="302"/>
      <c r="C12" s="297"/>
      <c r="D12" s="283"/>
      <c r="E12" s="515">
        <f ca="1">IFERROR(IF(AND(E10="",E11=""),"",IF(E10="",0,E10)+IF(E11="",0,E11)),"")</f>
        <v>120887021.04681635</v>
      </c>
      <c r="F12" s="515">
        <f t="shared" ref="F12:O12" ca="1" si="0">IFERROR(IF(AND(F10="",F11=""),"",IF(F10="",0,F10)+IF(F11="",0,F11)),"")</f>
        <v>126054706.73156442</v>
      </c>
      <c r="G12" s="515">
        <f t="shared" ca="1" si="0"/>
        <v>131497178.02297997</v>
      </c>
      <c r="H12" s="515">
        <f t="shared" ca="1" si="0"/>
        <v>136133810.73476186</v>
      </c>
      <c r="I12" s="515">
        <f t="shared" ca="1" si="0"/>
        <v>141470382.92061263</v>
      </c>
      <c r="J12" s="515">
        <f t="shared" ca="1" si="0"/>
        <v>146796047.66556877</v>
      </c>
      <c r="K12" s="515">
        <f t="shared" ca="1" si="0"/>
        <v>152227224.40082285</v>
      </c>
      <c r="L12" s="515">
        <f t="shared" ca="1" si="0"/>
        <v>157815129.93890768</v>
      </c>
      <c r="M12" s="515">
        <f t="shared" ca="1" si="0"/>
        <v>163554798.26738968</v>
      </c>
      <c r="N12" s="515">
        <f t="shared" ca="1" si="0"/>
        <v>169102703.60999408</v>
      </c>
      <c r="O12" s="515">
        <f t="shared" ca="1" si="0"/>
        <v>175220147.76954278</v>
      </c>
      <c r="P12" s="419">
        <f ca="1">SUM(E12:O12)</f>
        <v>1620759151.1089611</v>
      </c>
    </row>
    <row r="13" spans="1:16" s="67" customFormat="1" ht="15.45" customHeight="1" x14ac:dyDescent="0.3">
      <c r="A13" s="592" t="s">
        <v>839</v>
      </c>
      <c r="B13" s="594"/>
      <c r="C13" s="297"/>
      <c r="D13" s="595"/>
      <c r="E13" s="514">
        <f t="shared" ref="E13:O13" ca="1" si="1">IF(E15="","",E70)</f>
        <v>90000000</v>
      </c>
      <c r="F13" s="514">
        <f t="shared" ca="1" si="1"/>
        <v>90000000</v>
      </c>
      <c r="G13" s="514">
        <f t="shared" ca="1" si="1"/>
        <v>90000000</v>
      </c>
      <c r="H13" s="514">
        <f t="shared" ca="1" si="1"/>
        <v>90000000</v>
      </c>
      <c r="I13" s="514">
        <f t="shared" ca="1" si="1"/>
        <v>90000000</v>
      </c>
      <c r="J13" s="514">
        <f t="shared" ca="1" si="1"/>
        <v>90000000</v>
      </c>
      <c r="K13" s="514">
        <f t="shared" ca="1" si="1"/>
        <v>90000000</v>
      </c>
      <c r="L13" s="514">
        <f t="shared" ca="1" si="1"/>
        <v>90000000</v>
      </c>
      <c r="M13" s="514">
        <f t="shared" ca="1" si="1"/>
        <v>90000000</v>
      </c>
      <c r="N13" s="514">
        <f t="shared" ca="1" si="1"/>
        <v>90000000</v>
      </c>
      <c r="O13" s="514">
        <f t="shared" ca="1" si="1"/>
        <v>90000000</v>
      </c>
      <c r="P13" s="596">
        <f ca="1">SUM(E13:O13)</f>
        <v>990000000</v>
      </c>
    </row>
    <row r="14" spans="1:16" s="67" customFormat="1" ht="15.45" customHeight="1" x14ac:dyDescent="0.3">
      <c r="A14" s="298" t="s">
        <v>841</v>
      </c>
      <c r="B14" s="302"/>
      <c r="C14" s="297"/>
      <c r="D14" s="283"/>
      <c r="E14" s="597">
        <f ca="1">IF(E15="","",E13-E12)</f>
        <v>-30887021.046816349</v>
      </c>
      <c r="F14" s="597">
        <f t="shared" ref="F14:O14" ca="1" si="2">IF(F15="","",F13-F12)</f>
        <v>-36054706.731564417</v>
      </c>
      <c r="G14" s="597">
        <f t="shared" ca="1" si="2"/>
        <v>-41497178.022979975</v>
      </c>
      <c r="H14" s="597">
        <f t="shared" ca="1" si="2"/>
        <v>-46133810.734761864</v>
      </c>
      <c r="I14" s="597">
        <f t="shared" ca="1" si="2"/>
        <v>-51470382.920612633</v>
      </c>
      <c r="J14" s="597">
        <f t="shared" ca="1" si="2"/>
        <v>-56796047.665568769</v>
      </c>
      <c r="K14" s="597">
        <f t="shared" ca="1" si="2"/>
        <v>-62227224.400822848</v>
      </c>
      <c r="L14" s="597">
        <f t="shared" ca="1" si="2"/>
        <v>-67815129.938907683</v>
      </c>
      <c r="M14" s="597">
        <f t="shared" ca="1" si="2"/>
        <v>-73554798.267389685</v>
      </c>
      <c r="N14" s="597">
        <f t="shared" ca="1" si="2"/>
        <v>-79102703.609994084</v>
      </c>
      <c r="O14" s="597">
        <f t="shared" ca="1" si="2"/>
        <v>-85220147.769542783</v>
      </c>
      <c r="P14" s="598">
        <f ca="1">SUM(E14:O14)</f>
        <v>-630759151.10896111</v>
      </c>
    </row>
    <row r="15" spans="1:16" ht="14.55" customHeight="1" x14ac:dyDescent="0.3">
      <c r="A15" s="301" t="s">
        <v>630</v>
      </c>
      <c r="B15" s="302"/>
      <c r="C15" s="297"/>
      <c r="E15" s="517">
        <f ca="1">IF('D. Annual Schedule Tables'!E20&gt;0,'D. Annual Schedule Tables'!E20,"")</f>
        <v>19150</v>
      </c>
      <c r="F15" s="517">
        <f ca="1">IF('D. Annual Schedule Tables'!F20&gt;0,'D. Annual Schedule Tables'!F20,"")</f>
        <v>19650</v>
      </c>
      <c r="G15" s="517">
        <f ca="1">IF('D. Annual Schedule Tables'!G20&gt;0,'D. Annual Schedule Tables'!G20,"")</f>
        <v>20150</v>
      </c>
      <c r="H15" s="517">
        <f ca="1">IF('D. Annual Schedule Tables'!H20&gt;0,'D. Annual Schedule Tables'!H20,"")</f>
        <v>20650</v>
      </c>
      <c r="I15" s="517">
        <f ca="1">IF('D. Annual Schedule Tables'!I20&gt;0,'D. Annual Schedule Tables'!I20,"")</f>
        <v>21150</v>
      </c>
      <c r="J15" s="517">
        <f ca="1">IF('D. Annual Schedule Tables'!J20&gt;0,'D. Annual Schedule Tables'!J20,"")</f>
        <v>21650</v>
      </c>
      <c r="K15" s="517">
        <f ca="1">IF('D. Annual Schedule Tables'!K20&gt;0,'D. Annual Schedule Tables'!K20,"")</f>
        <v>22150</v>
      </c>
      <c r="L15" s="517">
        <f ca="1">IF('D. Annual Schedule Tables'!L20&gt;0,'D. Annual Schedule Tables'!L20,"")</f>
        <v>22650</v>
      </c>
      <c r="M15" s="517">
        <f ca="1">IF('D. Annual Schedule Tables'!M20&gt;0,'D. Annual Schedule Tables'!M20,"")</f>
        <v>23150</v>
      </c>
      <c r="N15" s="517">
        <f ca="1">IF('D. Annual Schedule Tables'!N20&gt;0,'D. Annual Schedule Tables'!N20,"")</f>
        <v>23650</v>
      </c>
      <c r="O15" s="517">
        <f ca="1">IF('D. Annual Schedule Tables'!O20&gt;0,'D. Annual Schedule Tables'!O20,"")</f>
        <v>24150</v>
      </c>
      <c r="P15" s="599">
        <f ca="1">IF(ISNA(INDEX(E15:O15,MATCH(9.99999999999999E+307,E15:O15))),"",INDEX(E15:O15,MATCH(9.99999999999999E+307,E15:O15)))</f>
        <v>24150</v>
      </c>
    </row>
    <row r="16" spans="1:16" ht="14.55" customHeight="1" x14ac:dyDescent="0.3">
      <c r="A16" s="592" t="s">
        <v>842</v>
      </c>
      <c r="B16" s="302"/>
      <c r="C16" s="297"/>
      <c r="E16" s="593">
        <f ca="1">IF(E15="","",E15/(VLOOKUP(P5,'C. Demographic Tables'!$B$8:$M$58,HLOOKUP(E9,'C.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0.39152865552334737</v>
      </c>
      <c r="F16" s="593">
        <f ca="1">IF(F15="","",F15/(VLOOKUP(P5,'C. Demographic Tables'!$B$8:$M$58,HLOOKUP(F9,'C.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0.40550973136917329</v>
      </c>
      <c r="G16" s="593">
        <f ca="1">IF(G15="","",G15/(VLOOKUP(P5,'C. Demographic Tables'!$B$8:$M$58,HLOOKUP(G9,'C.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0.41971964989209387</v>
      </c>
      <c r="H16" s="593">
        <f ca="1">IF(H15="","",H15/(VLOOKUP(P5,'C. Demographic Tables'!$B$8:$M$58,HLOOKUP(H9,'C.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0.43415720160009874</v>
      </c>
      <c r="I16" s="593">
        <f ca="1">IF(I15="","",I15/(VLOOKUP(P5,'C. Demographic Tables'!$B$8:$M$58,HLOOKUP(I9,'C.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0.44882898185309122</v>
      </c>
      <c r="J16" s="593">
        <f ca="1">IF(J15="","",J15/(VLOOKUP(P5,'C. Demographic Tables'!$B$8:$M$58,HLOOKUP(J9,'C.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0.46373782800821106</v>
      </c>
      <c r="K16" s="593">
        <f ca="1">IF(K15="","",K15/(VLOOKUP(P5,'C. Demographic Tables'!$B$8:$M$58,HLOOKUP(K9,'C.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0.47888656123184353</v>
      </c>
      <c r="L16" s="593">
        <f ca="1">IF(L15="","",L15/(VLOOKUP(P5,'C. Demographic Tables'!$B$8:$M$58,HLOOKUP(L9,'C.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0.49427798324848771</v>
      </c>
      <c r="M16" s="593">
        <f ca="1">IF(M15="","",M15/(VLOOKUP(P5,'C. Demographic Tables'!$B$8:$M$58,HLOOKUP(M9,'C.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0.50991487292869875</v>
      </c>
      <c r="N16" s="593">
        <f ca="1">IF(N15="","",N15/(VLOOKUP(P5,'C. Demographic Tables'!$B$8:$M$58,HLOOKUP(N9,'C.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0.52579998271168005</v>
      </c>
      <c r="O16" s="593">
        <f ca="1">IF(O15="","",O15/(VLOOKUP(P5,'C. Demographic Tables'!$B$8:$M$58,HLOOKUP(O9,'C.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0.54194147713049878</v>
      </c>
      <c r="P16" s="600">
        <f ca="1">IF(ISNA(INDEX(E16:O16,MATCH(9.99999999999999E+307,E16:O16))),"",INDEX(E16:O16,MATCH(9.99999999999999E+307,E16:O16)))</f>
        <v>0.54194147713049878</v>
      </c>
    </row>
    <row r="17" spans="1:16" ht="14.55" customHeight="1" thickBot="1" x14ac:dyDescent="0.35">
      <c r="A17" s="298" t="s">
        <v>844</v>
      </c>
      <c r="B17" s="302"/>
      <c r="C17" s="297"/>
      <c r="E17" s="532">
        <f ca="1">IFERROR(E12/E15,"")</f>
        <v>6312.6381747684782</v>
      </c>
      <c r="F17" s="532">
        <f t="shared" ref="F17:O17" ca="1" si="3">IFERROR(F12/F15,"")</f>
        <v>6414.9977980439908</v>
      </c>
      <c r="G17" s="532">
        <f t="shared" ca="1" si="3"/>
        <v>6525.9145420833738</v>
      </c>
      <c r="H17" s="532">
        <f t="shared" ca="1" si="3"/>
        <v>6592.4363551942788</v>
      </c>
      <c r="I17" s="532">
        <f t="shared" ca="1" si="3"/>
        <v>6688.9069938823941</v>
      </c>
      <c r="J17" s="532">
        <f t="shared" ca="1" si="3"/>
        <v>6780.4179060308898</v>
      </c>
      <c r="K17" s="532">
        <f t="shared" ca="1" si="3"/>
        <v>6872.5609210303764</v>
      </c>
      <c r="L17" s="532">
        <f t="shared" ca="1" si="3"/>
        <v>6967.5554056912888</v>
      </c>
      <c r="M17" s="532">
        <f t="shared" ca="1" si="3"/>
        <v>7065.0020849844359</v>
      </c>
      <c r="N17" s="515">
        <f t="shared" ca="1" si="3"/>
        <v>7150.2200257925615</v>
      </c>
      <c r="O17" s="515">
        <f t="shared" ca="1" si="3"/>
        <v>7255.4926612647114</v>
      </c>
      <c r="P17" s="531">
        <f ca="1">IF(ISNA(INDEX(E17:O17,MATCH(9.99999999999999E+307,E17:O17))),"",INDEX(E17:O17,MATCH(9.99999999999999E+307,E17:O17)))</f>
        <v>7255.4926612647114</v>
      </c>
    </row>
    <row r="18" spans="1:16" s="251" customFormat="1" ht="15" customHeight="1" thickBot="1" x14ac:dyDescent="0.35">
      <c r="A18" s="275"/>
      <c r="B18" s="275"/>
      <c r="C18" s="276"/>
      <c r="D18" s="284"/>
      <c r="E18" s="752"/>
      <c r="F18" s="751"/>
      <c r="G18" s="751"/>
      <c r="H18" s="751"/>
      <c r="I18" s="276"/>
      <c r="J18" s="276"/>
      <c r="K18" s="276"/>
      <c r="L18" s="276"/>
      <c r="M18" s="276"/>
      <c r="N18" s="276"/>
      <c r="O18" s="276"/>
      <c r="P18" s="277"/>
    </row>
    <row r="19" spans="1:16" ht="15" thickTop="1" x14ac:dyDescent="0.3">
      <c r="I19" s="655"/>
      <c r="J19" s="655"/>
      <c r="P19"/>
    </row>
    <row r="20" spans="1:16" ht="18" x14ac:dyDescent="0.35">
      <c r="A20" s="239" t="s">
        <v>837</v>
      </c>
      <c r="B20" s="240"/>
      <c r="C20" s="241"/>
    </row>
    <row r="21" spans="1:16" ht="14.55" customHeight="1" outlineLevel="1" x14ac:dyDescent="0.35">
      <c r="A21" s="17"/>
      <c r="B21" s="1"/>
      <c r="E21" s="246"/>
      <c r="F21" s="247"/>
      <c r="G21" s="247"/>
      <c r="H21" s="247"/>
      <c r="I21" s="248" t="s">
        <v>213</v>
      </c>
      <c r="J21" s="247"/>
      <c r="K21" s="247"/>
      <c r="L21" s="247"/>
      <c r="M21" s="249"/>
    </row>
    <row r="22" spans="1:16" ht="14.55" customHeight="1" outlineLevel="1" thickBot="1" x14ac:dyDescent="0.4">
      <c r="A22" s="17"/>
      <c r="B22" s="1"/>
      <c r="E22" s="56"/>
      <c r="F22" s="57" t="s">
        <v>18</v>
      </c>
      <c r="G22" s="58"/>
      <c r="H22" s="56"/>
      <c r="I22" s="57" t="s">
        <v>20</v>
      </c>
      <c r="J22" s="58"/>
      <c r="K22" s="56"/>
      <c r="L22" s="57" t="s">
        <v>19</v>
      </c>
      <c r="M22" s="58"/>
    </row>
    <row r="23" spans="1:16" ht="29.4" outlineLevel="1" x14ac:dyDescent="0.35">
      <c r="A23" s="17"/>
      <c r="B23" s="1"/>
      <c r="C23" s="70" t="s">
        <v>80</v>
      </c>
      <c r="E23" s="40" t="s">
        <v>26</v>
      </c>
      <c r="F23" s="40" t="s">
        <v>27</v>
      </c>
      <c r="G23" s="40" t="s">
        <v>28</v>
      </c>
      <c r="H23" s="40" t="str">
        <f>E23</f>
        <v>Part Day (3hr)</v>
      </c>
      <c r="I23" s="40" t="str">
        <f>F23</f>
        <v>Full Day (6hr)</v>
      </c>
      <c r="J23" s="40" t="str">
        <f>G23</f>
        <v>Extended Day (10hr)</v>
      </c>
      <c r="K23" s="40" t="str">
        <f>E23</f>
        <v>Part Day (3hr)</v>
      </c>
      <c r="L23" s="40" t="str">
        <f>F23</f>
        <v>Full Day (6hr)</v>
      </c>
      <c r="M23" s="40" t="str">
        <f>G23</f>
        <v>Extended Day (10hr)</v>
      </c>
      <c r="P23" s="250" t="s">
        <v>2</v>
      </c>
    </row>
    <row r="24" spans="1:16" ht="14.55" customHeight="1" outlineLevel="1" x14ac:dyDescent="0.35">
      <c r="A24" s="17"/>
      <c r="B24" s="1"/>
      <c r="C24" s="71" t="s">
        <v>25</v>
      </c>
      <c r="E24" s="72">
        <v>0</v>
      </c>
      <c r="F24" s="72">
        <v>0</v>
      </c>
      <c r="G24" s="72">
        <v>0</v>
      </c>
      <c r="H24" s="72">
        <v>18500</v>
      </c>
      <c r="I24" s="72">
        <v>650</v>
      </c>
      <c r="J24" s="33">
        <v>0</v>
      </c>
      <c r="K24" s="72">
        <v>0</v>
      </c>
      <c r="L24" s="72">
        <v>0</v>
      </c>
      <c r="M24" s="33">
        <v>0</v>
      </c>
      <c r="P24" s="116">
        <f>IF(SUM(D24:O24)&gt;0,SUM(D24:O24),"")</f>
        <v>19150</v>
      </c>
    </row>
    <row r="25" spans="1:16" ht="14.55" customHeight="1" outlineLevel="1" x14ac:dyDescent="0.35">
      <c r="A25" s="17"/>
      <c r="B25" s="1"/>
      <c r="C25" s="71" t="s">
        <v>0</v>
      </c>
      <c r="E25" s="72">
        <v>0</v>
      </c>
      <c r="F25" s="72">
        <v>0</v>
      </c>
      <c r="G25" s="72">
        <v>0</v>
      </c>
      <c r="H25" s="72">
        <v>19000</v>
      </c>
      <c r="I25" s="72">
        <v>650</v>
      </c>
      <c r="J25" s="33">
        <v>0</v>
      </c>
      <c r="K25" s="72">
        <v>0</v>
      </c>
      <c r="L25" s="72">
        <v>0</v>
      </c>
      <c r="M25" s="33">
        <v>0</v>
      </c>
      <c r="P25" s="116">
        <f t="shared" ref="P25:P34" si="4">IF(SUM(D25:O25)&gt;0,SUM(D25:O25),"")</f>
        <v>19650</v>
      </c>
    </row>
    <row r="26" spans="1:16" ht="14.55" customHeight="1" outlineLevel="1" x14ac:dyDescent="0.35">
      <c r="A26" s="17"/>
      <c r="B26" s="1"/>
      <c r="C26" s="71" t="s">
        <v>1</v>
      </c>
      <c r="E26" s="72">
        <v>0</v>
      </c>
      <c r="F26" s="72">
        <v>0</v>
      </c>
      <c r="G26" s="72">
        <v>0</v>
      </c>
      <c r="H26" s="72">
        <v>19500</v>
      </c>
      <c r="I26" s="72">
        <v>650</v>
      </c>
      <c r="J26" s="33">
        <v>0</v>
      </c>
      <c r="K26" s="72">
        <v>0</v>
      </c>
      <c r="L26" s="72">
        <v>0</v>
      </c>
      <c r="M26" s="33">
        <v>0</v>
      </c>
      <c r="P26" s="116">
        <f t="shared" si="4"/>
        <v>20150</v>
      </c>
    </row>
    <row r="27" spans="1:16" ht="14.55" customHeight="1" outlineLevel="1" x14ac:dyDescent="0.35">
      <c r="A27" s="17"/>
      <c r="B27" s="1"/>
      <c r="C27" s="71" t="s">
        <v>3</v>
      </c>
      <c r="E27" s="72">
        <v>0</v>
      </c>
      <c r="F27" s="72">
        <v>0</v>
      </c>
      <c r="G27" s="72">
        <v>0</v>
      </c>
      <c r="H27" s="72">
        <v>20000</v>
      </c>
      <c r="I27" s="72">
        <v>650</v>
      </c>
      <c r="J27" s="33">
        <v>0</v>
      </c>
      <c r="K27" s="72">
        <v>0</v>
      </c>
      <c r="L27" s="72">
        <v>0</v>
      </c>
      <c r="M27" s="33">
        <v>0</v>
      </c>
      <c r="P27" s="116">
        <f t="shared" si="4"/>
        <v>20650</v>
      </c>
    </row>
    <row r="28" spans="1:16" ht="14.55" customHeight="1" outlineLevel="1" x14ac:dyDescent="0.35">
      <c r="A28" s="17"/>
      <c r="B28" s="1"/>
      <c r="C28" s="71" t="s">
        <v>4</v>
      </c>
      <c r="E28" s="72">
        <v>0</v>
      </c>
      <c r="F28" s="72">
        <v>0</v>
      </c>
      <c r="G28" s="72">
        <v>0</v>
      </c>
      <c r="H28" s="72">
        <v>20500</v>
      </c>
      <c r="I28" s="72">
        <v>650</v>
      </c>
      <c r="J28" s="6">
        <v>0</v>
      </c>
      <c r="K28" s="6">
        <v>0</v>
      </c>
      <c r="L28" s="6">
        <v>0</v>
      </c>
      <c r="M28" s="6">
        <v>0</v>
      </c>
      <c r="P28" s="116">
        <f t="shared" si="4"/>
        <v>21150</v>
      </c>
    </row>
    <row r="29" spans="1:16" ht="14.55" customHeight="1" outlineLevel="1" x14ac:dyDescent="0.35">
      <c r="A29" s="17"/>
      <c r="B29" s="1"/>
      <c r="C29" s="71" t="s">
        <v>5</v>
      </c>
      <c r="E29" s="72">
        <v>0</v>
      </c>
      <c r="F29" s="72">
        <v>0</v>
      </c>
      <c r="G29" s="72">
        <v>0</v>
      </c>
      <c r="H29" s="72">
        <v>21000</v>
      </c>
      <c r="I29" s="72">
        <v>650</v>
      </c>
      <c r="J29" s="6">
        <v>0</v>
      </c>
      <c r="K29" s="6">
        <v>0</v>
      </c>
      <c r="L29" s="6">
        <v>0</v>
      </c>
      <c r="M29" s="6">
        <v>0</v>
      </c>
      <c r="P29" s="116">
        <f t="shared" si="4"/>
        <v>21650</v>
      </c>
    </row>
    <row r="30" spans="1:16" ht="14.55" customHeight="1" outlineLevel="1" x14ac:dyDescent="0.35">
      <c r="A30" s="17"/>
      <c r="B30" s="1"/>
      <c r="C30" s="71" t="s">
        <v>6</v>
      </c>
      <c r="E30" s="72">
        <v>0</v>
      </c>
      <c r="F30" s="72">
        <v>0</v>
      </c>
      <c r="G30" s="72">
        <v>0</v>
      </c>
      <c r="H30" s="72">
        <v>21500</v>
      </c>
      <c r="I30" s="72">
        <v>650</v>
      </c>
      <c r="J30" s="6">
        <v>0</v>
      </c>
      <c r="K30" s="6">
        <v>0</v>
      </c>
      <c r="L30" s="6">
        <v>0</v>
      </c>
      <c r="M30" s="6">
        <v>0</v>
      </c>
      <c r="P30" s="116">
        <f t="shared" si="4"/>
        <v>22150</v>
      </c>
    </row>
    <row r="31" spans="1:16" ht="14.55" customHeight="1" outlineLevel="1" x14ac:dyDescent="0.35">
      <c r="A31" s="17"/>
      <c r="B31" s="1"/>
      <c r="C31" s="71" t="s">
        <v>7</v>
      </c>
      <c r="E31" s="72">
        <v>0</v>
      </c>
      <c r="F31" s="72">
        <v>0</v>
      </c>
      <c r="G31" s="72">
        <v>0</v>
      </c>
      <c r="H31" s="6">
        <v>22000</v>
      </c>
      <c r="I31" s="72">
        <v>650</v>
      </c>
      <c r="J31" s="6">
        <v>0</v>
      </c>
      <c r="K31" s="6">
        <v>0</v>
      </c>
      <c r="L31" s="6">
        <v>0</v>
      </c>
      <c r="M31" s="6">
        <v>0</v>
      </c>
      <c r="P31" s="116">
        <f t="shared" si="4"/>
        <v>22650</v>
      </c>
    </row>
    <row r="32" spans="1:16" ht="14.55" customHeight="1" outlineLevel="1" x14ac:dyDescent="0.35">
      <c r="A32" s="17"/>
      <c r="B32" s="1"/>
      <c r="C32" s="71" t="s">
        <v>8</v>
      </c>
      <c r="E32" s="72">
        <v>0</v>
      </c>
      <c r="F32" s="72">
        <v>0</v>
      </c>
      <c r="G32" s="72">
        <v>0</v>
      </c>
      <c r="H32" s="6">
        <v>22500</v>
      </c>
      <c r="I32" s="72">
        <v>650</v>
      </c>
      <c r="J32" s="6">
        <v>0</v>
      </c>
      <c r="K32" s="6">
        <v>0</v>
      </c>
      <c r="L32" s="6">
        <v>0</v>
      </c>
      <c r="M32" s="6">
        <v>0</v>
      </c>
      <c r="P32" s="116">
        <f t="shared" si="4"/>
        <v>23150</v>
      </c>
    </row>
    <row r="33" spans="1:17" ht="14.55" customHeight="1" outlineLevel="1" x14ac:dyDescent="0.35">
      <c r="A33" s="17"/>
      <c r="B33" s="1"/>
      <c r="C33" s="71" t="s">
        <v>9</v>
      </c>
      <c r="E33" s="72">
        <v>0</v>
      </c>
      <c r="F33" s="72">
        <v>0</v>
      </c>
      <c r="G33" s="72">
        <v>0</v>
      </c>
      <c r="H33" s="6">
        <v>23000</v>
      </c>
      <c r="I33" s="72">
        <v>650</v>
      </c>
      <c r="J33" s="6">
        <v>0</v>
      </c>
      <c r="K33" s="6">
        <v>0</v>
      </c>
      <c r="L33" s="6">
        <v>0</v>
      </c>
      <c r="M33" s="6">
        <v>0</v>
      </c>
      <c r="P33" s="116">
        <f t="shared" si="4"/>
        <v>23650</v>
      </c>
    </row>
    <row r="34" spans="1:17" ht="14.55" customHeight="1" outlineLevel="1" x14ac:dyDescent="0.35">
      <c r="A34" s="17"/>
      <c r="B34" s="1"/>
      <c r="C34" s="71" t="s">
        <v>10</v>
      </c>
      <c r="E34" s="72">
        <v>0</v>
      </c>
      <c r="F34" s="72">
        <v>0</v>
      </c>
      <c r="G34" s="72">
        <v>0</v>
      </c>
      <c r="H34" s="6">
        <v>23500</v>
      </c>
      <c r="I34" s="72">
        <v>650</v>
      </c>
      <c r="J34" s="6">
        <v>0</v>
      </c>
      <c r="K34" s="6">
        <v>0</v>
      </c>
      <c r="L34" s="6">
        <v>0</v>
      </c>
      <c r="M34" s="6">
        <v>0</v>
      </c>
      <c r="P34" s="116">
        <f t="shared" si="4"/>
        <v>24150</v>
      </c>
    </row>
    <row r="35" spans="1:17" s="1" customFormat="1" ht="14.55" customHeight="1" outlineLevel="1" thickBot="1" x14ac:dyDescent="0.4">
      <c r="A35" s="17"/>
      <c r="C35" s="11" t="s">
        <v>61</v>
      </c>
      <c r="D35" s="280" t="b">
        <f>IF(SUM(E35:O35)&gt;0,TRUE,FALSE)</f>
        <v>1</v>
      </c>
      <c r="E35" s="16">
        <f t="shared" ref="E35:M35" si="5">IF(E34=0,IF(E33=0,IF(E32=0,IF(E31=0,IF(E30=0,IF(E29=0,IF(E28=0,IF(E27=0,IF(E26=0,IF(E25=0,E24,E25),E26),E27),E28),E29),E30),E31),E32),E33),E34)</f>
        <v>0</v>
      </c>
      <c r="F35" s="16">
        <f t="shared" si="5"/>
        <v>0</v>
      </c>
      <c r="G35" s="16">
        <f t="shared" si="5"/>
        <v>0</v>
      </c>
      <c r="H35" s="16">
        <f t="shared" si="5"/>
        <v>23500</v>
      </c>
      <c r="I35" s="16">
        <f t="shared" si="5"/>
        <v>650</v>
      </c>
      <c r="J35" s="16">
        <f t="shared" si="5"/>
        <v>0</v>
      </c>
      <c r="K35" s="16">
        <f t="shared" si="5"/>
        <v>0</v>
      </c>
      <c r="L35" s="16">
        <f t="shared" si="5"/>
        <v>0</v>
      </c>
      <c r="M35" s="16">
        <f t="shared" si="5"/>
        <v>0</v>
      </c>
      <c r="N35"/>
      <c r="O35"/>
      <c r="P35" s="117">
        <f>SUM(D35:O35)</f>
        <v>24150</v>
      </c>
    </row>
    <row r="36" spans="1:17" ht="15" outlineLevel="1" thickBot="1" x14ac:dyDescent="0.35">
      <c r="C36" s="7" t="s">
        <v>15</v>
      </c>
      <c r="E36" s="252" t="s">
        <v>57</v>
      </c>
      <c r="P36" s="74"/>
    </row>
    <row r="37" spans="1:17" outlineLevel="1" x14ac:dyDescent="0.3">
      <c r="C37" s="10" t="s">
        <v>16</v>
      </c>
      <c r="D37" s="280" t="b">
        <f>IF(E37&gt;0,TRUE,FALSE)</f>
        <v>1</v>
      </c>
      <c r="E37" s="88">
        <v>1.6</v>
      </c>
      <c r="F37" s="655"/>
      <c r="P37" s="359">
        <f>E37</f>
        <v>1.6</v>
      </c>
    </row>
    <row r="38" spans="1:17" outlineLevel="1" x14ac:dyDescent="0.3">
      <c r="C38" s="10" t="s">
        <v>11</v>
      </c>
      <c r="D38" s="280" t="b">
        <f>IF(AND(E38&gt;=0,E38&lt;=1),TRUE,FALSE)</f>
        <v>1</v>
      </c>
      <c r="E38" s="89">
        <v>0.05</v>
      </c>
      <c r="P38" s="360">
        <f>E38</f>
        <v>0.05</v>
      </c>
    </row>
    <row r="39" spans="1:17" outlineLevel="1" x14ac:dyDescent="0.3">
      <c r="C39" s="10" t="s">
        <v>12</v>
      </c>
      <c r="D39" s="280" t="b">
        <f>IF(AND(E39&gt;=0,E39&lt;=1),TRUE,FALSE)</f>
        <v>1</v>
      </c>
      <c r="E39" s="89">
        <v>0.5</v>
      </c>
      <c r="P39" s="361">
        <f>E39</f>
        <v>0.5</v>
      </c>
      <c r="Q39" s="754"/>
    </row>
    <row r="40" spans="1:17" s="1" customFormat="1" outlineLevel="1" x14ac:dyDescent="0.3">
      <c r="C40" s="50" t="s">
        <v>13</v>
      </c>
      <c r="D40" s="280"/>
      <c r="E40" s="90">
        <f>SUM(E38:E39)</f>
        <v>0.55000000000000004</v>
      </c>
      <c r="F40"/>
      <c r="G40"/>
      <c r="H40"/>
      <c r="I40"/>
      <c r="J40"/>
      <c r="K40"/>
      <c r="L40"/>
      <c r="M40"/>
      <c r="N40"/>
      <c r="O40"/>
      <c r="P40" s="363">
        <f>E40</f>
        <v>0.55000000000000004</v>
      </c>
    </row>
    <row r="41" spans="1:17" ht="15" outlineLevel="1" thickBot="1" x14ac:dyDescent="0.35">
      <c r="C41" s="10" t="s">
        <v>14</v>
      </c>
      <c r="D41" s="280" t="b">
        <f>IF(AND(E41&gt;=0,E41&lt;=1),TRUE,FALSE)</f>
        <v>1</v>
      </c>
      <c r="E41" s="89">
        <v>0.5</v>
      </c>
      <c r="P41" s="362">
        <f>E41</f>
        <v>0.5</v>
      </c>
    </row>
    <row r="42" spans="1:17" ht="15" outlineLevel="1" thickBot="1" x14ac:dyDescent="0.35">
      <c r="C42" s="13" t="s">
        <v>31</v>
      </c>
      <c r="E42" s="556" t="s">
        <v>814</v>
      </c>
      <c r="F42" s="412" t="s">
        <v>813</v>
      </c>
      <c r="P42" s="74"/>
    </row>
    <row r="43" spans="1:17" outlineLevel="1" x14ac:dyDescent="0.3">
      <c r="C43" s="14" t="s">
        <v>21</v>
      </c>
      <c r="D43" s="280" t="b">
        <f>IF(AND(E43&gt;0,E43&lt;=52),TRUE,FALSE)</f>
        <v>1</v>
      </c>
      <c r="E43" s="92">
        <v>35</v>
      </c>
      <c r="F43" s="3">
        <f>E43*5</f>
        <v>175</v>
      </c>
      <c r="P43" s="112">
        <f>E43</f>
        <v>35</v>
      </c>
    </row>
    <row r="44" spans="1:17" outlineLevel="1" x14ac:dyDescent="0.3">
      <c r="C44" s="14" t="s">
        <v>22</v>
      </c>
      <c r="D44" s="280" t="b">
        <f>IF(AND(E44&gt;0,E44&lt;=52),TRUE,FALSE)</f>
        <v>1</v>
      </c>
      <c r="E44" s="92">
        <v>35</v>
      </c>
      <c r="F44" s="3">
        <f>E44*5</f>
        <v>175</v>
      </c>
      <c r="P44" s="113">
        <f>E44</f>
        <v>35</v>
      </c>
    </row>
    <row r="45" spans="1:17" ht="15" outlineLevel="1" thickBot="1" x14ac:dyDescent="0.35">
      <c r="C45" s="14" t="s">
        <v>23</v>
      </c>
      <c r="D45" s="280" t="b">
        <f>IF(AND(E45&gt;0,E45&lt;=52),TRUE,FALSE)</f>
        <v>1</v>
      </c>
      <c r="E45" s="92">
        <v>52</v>
      </c>
      <c r="F45" s="3">
        <f>E45*5</f>
        <v>260</v>
      </c>
      <c r="P45" s="114">
        <f>E45</f>
        <v>52</v>
      </c>
    </row>
    <row r="47" spans="1:17" ht="18" x14ac:dyDescent="0.35">
      <c r="A47" s="239" t="s">
        <v>838</v>
      </c>
      <c r="B47" s="240"/>
      <c r="C47" s="241"/>
    </row>
    <row r="48" spans="1:17" outlineLevel="1" x14ac:dyDescent="0.3">
      <c r="E48" s="246"/>
      <c r="F48" s="247"/>
      <c r="G48" s="247"/>
      <c r="H48" s="247"/>
      <c r="I48" s="248" t="s">
        <v>213</v>
      </c>
      <c r="J48" s="247"/>
      <c r="K48" s="247"/>
      <c r="L48" s="247"/>
      <c r="M48" s="249"/>
    </row>
    <row r="49" spans="3:16" ht="15" outlineLevel="1" thickBot="1" x14ac:dyDescent="0.35">
      <c r="E49" s="56"/>
      <c r="F49" s="57" t="s">
        <v>18</v>
      </c>
      <c r="G49" s="58"/>
      <c r="H49" s="56"/>
      <c r="I49" s="57" t="s">
        <v>20</v>
      </c>
      <c r="J49" s="58"/>
      <c r="K49" s="56"/>
      <c r="L49" s="57" t="s">
        <v>19</v>
      </c>
      <c r="M49" s="58"/>
    </row>
    <row r="50" spans="3:16" ht="28.8" outlineLevel="1" x14ac:dyDescent="0.3">
      <c r="E50" s="40" t="s">
        <v>26</v>
      </c>
      <c r="F50" s="40" t="s">
        <v>27</v>
      </c>
      <c r="G50" s="40" t="s">
        <v>28</v>
      </c>
      <c r="H50" s="40" t="str">
        <f>E50</f>
        <v>Part Day (3hr)</v>
      </c>
      <c r="I50" s="40" t="str">
        <f>F50</f>
        <v>Full Day (6hr)</v>
      </c>
      <c r="J50" s="40" t="str">
        <f>G50</f>
        <v>Extended Day (10hr)</v>
      </c>
      <c r="K50" s="40" t="str">
        <f>E50</f>
        <v>Part Day (3hr)</v>
      </c>
      <c r="L50" s="40" t="str">
        <f>F50</f>
        <v>Full Day (6hr)</v>
      </c>
      <c r="M50" s="40" t="str">
        <f>G50</f>
        <v>Extended Day (10hr)</v>
      </c>
      <c r="P50" s="721" t="s">
        <v>2</v>
      </c>
    </row>
    <row r="51" spans="3:16" outlineLevel="1" x14ac:dyDescent="0.3">
      <c r="C51" s="70" t="s">
        <v>1019</v>
      </c>
      <c r="D51" s="280" t="b">
        <f>IF(COUNTIF(E51:M51,"&lt;0")=0,TRUE,FALSE)</f>
        <v>1</v>
      </c>
      <c r="E51" s="591">
        <v>0</v>
      </c>
      <c r="F51" s="591">
        <v>0</v>
      </c>
      <c r="G51" s="591">
        <v>0</v>
      </c>
      <c r="H51" s="591">
        <v>90000000</v>
      </c>
      <c r="I51" s="591">
        <v>0</v>
      </c>
      <c r="J51" s="591">
        <v>0</v>
      </c>
      <c r="K51" s="591">
        <v>0</v>
      </c>
      <c r="L51" s="591">
        <v>0</v>
      </c>
      <c r="M51" s="591">
        <v>0</v>
      </c>
      <c r="P51" s="152">
        <f>IF(M54="Yes",N54,SUM(E51:M51))</f>
        <v>90000000</v>
      </c>
    </row>
    <row r="52" spans="3:16" ht="15" outlineLevel="1" thickBot="1" x14ac:dyDescent="0.35">
      <c r="C52" s="11" t="s">
        <v>1018</v>
      </c>
      <c r="E52" s="724">
        <f t="shared" ref="E52:M52" si="6">SUM(E51:E51)</f>
        <v>0</v>
      </c>
      <c r="F52" s="724">
        <f t="shared" si="6"/>
        <v>0</v>
      </c>
      <c r="G52" s="724">
        <f t="shared" si="6"/>
        <v>0</v>
      </c>
      <c r="H52" s="724">
        <f t="shared" si="6"/>
        <v>90000000</v>
      </c>
      <c r="I52" s="724">
        <f t="shared" si="6"/>
        <v>0</v>
      </c>
      <c r="J52" s="724">
        <f t="shared" si="6"/>
        <v>0</v>
      </c>
      <c r="K52" s="724">
        <f t="shared" si="6"/>
        <v>0</v>
      </c>
      <c r="L52" s="724">
        <f t="shared" si="6"/>
        <v>0</v>
      </c>
      <c r="M52" s="724">
        <f t="shared" si="6"/>
        <v>0</v>
      </c>
      <c r="P52" s="148">
        <f>IF(M54="Yes",N54,SUM(E52:M52))</f>
        <v>90000000</v>
      </c>
    </row>
    <row r="53" spans="3:16" outlineLevel="1" x14ac:dyDescent="0.3">
      <c r="C53" s="9"/>
      <c r="E53" s="722"/>
      <c r="F53" s="722"/>
      <c r="G53" s="722"/>
      <c r="H53" s="722"/>
      <c r="I53" s="722"/>
      <c r="J53" s="722"/>
      <c r="N53" s="4" t="s">
        <v>824</v>
      </c>
      <c r="P53" s="161"/>
    </row>
    <row r="54" spans="3:16" outlineLevel="1" x14ac:dyDescent="0.3">
      <c r="C54" s="9"/>
      <c r="D54" s="280" t="b">
        <f>IF(AND(M54="Yes",N54&lt;0),FALSE,TRUE)</f>
        <v>1</v>
      </c>
      <c r="E54" s="722"/>
      <c r="F54" s="722"/>
      <c r="G54" s="722"/>
      <c r="H54" s="722"/>
      <c r="I54" s="722"/>
      <c r="J54" s="722"/>
      <c r="L54" s="308" t="s">
        <v>360</v>
      </c>
      <c r="M54" s="307" t="s">
        <v>359</v>
      </c>
      <c r="N54" s="591">
        <v>90000000</v>
      </c>
      <c r="P54" s="161"/>
    </row>
    <row r="55" spans="3:16" outlineLevel="1" x14ac:dyDescent="0.3">
      <c r="C55" s="9"/>
      <c r="E55" s="722"/>
      <c r="F55" s="722"/>
      <c r="G55" s="722"/>
      <c r="H55" s="722"/>
      <c r="I55" s="722"/>
      <c r="J55" s="722"/>
      <c r="K55" s="722"/>
      <c r="L55" s="722"/>
      <c r="M55" s="722"/>
      <c r="P55" s="161"/>
    </row>
    <row r="56" spans="3:16" outlineLevel="1" x14ac:dyDescent="0.3">
      <c r="C56" s="9"/>
      <c r="E56" s="722"/>
      <c r="F56" s="722"/>
      <c r="G56" s="722"/>
      <c r="H56" s="722"/>
      <c r="I56" s="722"/>
      <c r="J56" s="722"/>
      <c r="K56" s="722"/>
      <c r="L56" s="308" t="s">
        <v>1028</v>
      </c>
      <c r="M56" s="307" t="s">
        <v>686</v>
      </c>
      <c r="P56" s="161"/>
    </row>
    <row r="57" spans="3:16" outlineLevel="1" x14ac:dyDescent="0.3">
      <c r="C57" s="9"/>
      <c r="E57" s="722"/>
      <c r="F57" s="722"/>
      <c r="G57" s="722"/>
      <c r="H57" s="722"/>
      <c r="I57" s="722"/>
      <c r="J57" s="722"/>
      <c r="K57" s="722"/>
      <c r="L57" s="722"/>
      <c r="M57" s="308"/>
      <c r="P57" s="161"/>
    </row>
    <row r="58" spans="3:16" outlineLevel="1" x14ac:dyDescent="0.3">
      <c r="C58" s="9"/>
      <c r="E58" s="242"/>
      <c r="F58" s="243"/>
      <c r="G58" s="243"/>
      <c r="H58" s="243"/>
      <c r="I58" s="243"/>
      <c r="J58" s="242" t="s">
        <v>59</v>
      </c>
      <c r="K58" s="243"/>
      <c r="L58" s="243"/>
      <c r="M58" s="243"/>
      <c r="N58" s="243"/>
      <c r="O58" s="244"/>
      <c r="P58" s="161"/>
    </row>
    <row r="59" spans="3:16" ht="15" outlineLevel="1" thickBot="1" x14ac:dyDescent="0.35">
      <c r="C59" s="70" t="s">
        <v>1022</v>
      </c>
      <c r="E59" s="51">
        <v>0</v>
      </c>
      <c r="F59" s="51">
        <v>1</v>
      </c>
      <c r="G59" s="51">
        <v>2</v>
      </c>
      <c r="H59" s="51">
        <v>3</v>
      </c>
      <c r="I59" s="51">
        <v>4</v>
      </c>
      <c r="J59" s="51">
        <v>5</v>
      </c>
      <c r="K59" s="51">
        <v>6</v>
      </c>
      <c r="L59" s="51">
        <v>7</v>
      </c>
      <c r="M59" s="51">
        <v>8</v>
      </c>
      <c r="N59" s="51">
        <v>9</v>
      </c>
      <c r="O59" s="51">
        <v>10</v>
      </c>
      <c r="P59" s="161"/>
    </row>
    <row r="60" spans="3:16" outlineLevel="1" x14ac:dyDescent="0.3">
      <c r="C60" s="71" t="s">
        <v>1023</v>
      </c>
      <c r="D60" s="280" t="b">
        <f ca="1">IF(AND(M56="Yes",OR(COUNTIF(F60:O60,"&lt;0")&gt;0,COUNTIF(F60:O60,"&gt;=0")&lt;COUNTIF('D. Annual Schedule Tables'!F8:O8,"&gt;0"))),FALSE,TRUE)</f>
        <v>1</v>
      </c>
      <c r="E60" s="728">
        <f>E52</f>
        <v>0</v>
      </c>
      <c r="F60" s="591"/>
      <c r="G60" s="591"/>
      <c r="H60" s="591"/>
      <c r="I60" s="591"/>
      <c r="J60" s="591"/>
      <c r="K60" s="591"/>
      <c r="L60" s="591"/>
      <c r="M60" s="591"/>
      <c r="N60" s="591"/>
      <c r="O60" s="591"/>
      <c r="P60" s="725">
        <f>IF(M56="Yes","",SUM(E60:M60))</f>
        <v>0</v>
      </c>
    </row>
    <row r="61" spans="3:16" outlineLevel="1" x14ac:dyDescent="0.3">
      <c r="C61" s="727" t="s">
        <v>1024</v>
      </c>
      <c r="D61" s="280" t="b">
        <f ca="1">IF(AND(M56="Yes",OR(COUNTIF(F61:O61,"&lt;0")&gt;0,COUNTIF(F61:O61,"&gt;=0")&lt;COUNTIF('D. Annual Schedule Tables'!F9:O9,"&gt;0"))),FALSE,TRUE)</f>
        <v>1</v>
      </c>
      <c r="E61" s="728">
        <f>F52</f>
        <v>0</v>
      </c>
      <c r="F61" s="591"/>
      <c r="G61" s="591"/>
      <c r="H61" s="591"/>
      <c r="I61" s="591"/>
      <c r="J61" s="591"/>
      <c r="K61" s="591"/>
      <c r="L61" s="591"/>
      <c r="M61" s="591"/>
      <c r="N61" s="591"/>
      <c r="O61" s="591"/>
      <c r="P61" s="152">
        <f>IF(M56="Yes","",SUM(E61:M61))</f>
        <v>0</v>
      </c>
    </row>
    <row r="62" spans="3:16" outlineLevel="1" x14ac:dyDescent="0.3">
      <c r="C62" s="727" t="s">
        <v>1025</v>
      </c>
      <c r="D62" s="280" t="b">
        <f ca="1">IF(AND(M56="Yes",OR(COUNTIF(F62:O62,"&lt;0")&gt;0,COUNTIF(F62:O62,"&gt;=0")&lt;COUNTIF('D. Annual Schedule Tables'!F10:O10,"&gt;0"))),FALSE,TRUE)</f>
        <v>1</v>
      </c>
      <c r="E62" s="728">
        <f>G52</f>
        <v>0</v>
      </c>
      <c r="F62" s="591"/>
      <c r="G62" s="591"/>
      <c r="H62" s="591"/>
      <c r="I62" s="591"/>
      <c r="J62" s="591"/>
      <c r="K62" s="591"/>
      <c r="L62" s="591"/>
      <c r="M62" s="591"/>
      <c r="N62" s="591"/>
      <c r="O62" s="591"/>
      <c r="P62" s="152">
        <f>IF(M56="Yes","",SUM(E62:M62))</f>
        <v>0</v>
      </c>
    </row>
    <row r="63" spans="3:16" outlineLevel="1" x14ac:dyDescent="0.3">
      <c r="C63" s="71" t="s">
        <v>1026</v>
      </c>
      <c r="D63" s="280" t="b">
        <f ca="1">IF(AND(M56="Yes",OR(COUNTIF(F63:O63,"&lt;0")&gt;0,COUNTIF(F63:O63,"&gt;=0")&lt;COUNTIF('D. Annual Schedule Tables'!F12:O12,"&gt;0"))),FALSE,TRUE)</f>
        <v>1</v>
      </c>
      <c r="E63" s="728">
        <f>H52</f>
        <v>90000000</v>
      </c>
      <c r="F63" s="591">
        <v>90000000</v>
      </c>
      <c r="G63" s="591">
        <v>90000000</v>
      </c>
      <c r="H63" s="591">
        <v>90000000</v>
      </c>
      <c r="I63" s="591">
        <v>90000000</v>
      </c>
      <c r="J63" s="591">
        <v>90000000</v>
      </c>
      <c r="K63" s="591">
        <v>90000000</v>
      </c>
      <c r="L63" s="591">
        <v>90000000</v>
      </c>
      <c r="M63" s="591">
        <v>90000000</v>
      </c>
      <c r="N63" s="591">
        <v>90000000</v>
      </c>
      <c r="O63" s="591">
        <v>90000000</v>
      </c>
      <c r="P63" s="152">
        <f>IF(M56="Yes","",SUM(E63:M63))</f>
        <v>810000000</v>
      </c>
    </row>
    <row r="64" spans="3:16" outlineLevel="1" x14ac:dyDescent="0.3">
      <c r="C64" s="726" t="s">
        <v>1024</v>
      </c>
      <c r="D64" s="280" t="b">
        <f ca="1">IF(AND(M56="Yes",OR(COUNTIF(F64:O64,"&lt;0")&gt;0,COUNTIF(F64:O64,"&gt;=0")&lt;COUNTIF('D. Annual Schedule Tables'!F13:O13,"&gt;0"))),FALSE,TRUE)</f>
        <v>1</v>
      </c>
      <c r="E64" s="728">
        <f>I52</f>
        <v>0</v>
      </c>
      <c r="F64" s="591"/>
      <c r="G64" s="591"/>
      <c r="H64" s="591"/>
      <c r="I64" s="591"/>
      <c r="J64" s="591"/>
      <c r="K64" s="591"/>
      <c r="L64" s="591"/>
      <c r="M64" s="591"/>
      <c r="N64" s="591"/>
      <c r="O64" s="591"/>
      <c r="P64" s="152">
        <f>IF(M56="Yes","",SUM(E64:M64))</f>
        <v>0</v>
      </c>
    </row>
    <row r="65" spans="1:16" outlineLevel="1" x14ac:dyDescent="0.3">
      <c r="C65" s="726" t="s">
        <v>1025</v>
      </c>
      <c r="D65" s="280" t="b">
        <f ca="1">IF(AND(M56="Yes",OR(COUNTIF(F65:O65,"&lt;0")&gt;0,COUNTIF(F65:O65,"&gt;=0")&lt;COUNTIF('D. Annual Schedule Tables'!F14:O14,"&gt;0"))),FALSE,TRUE)</f>
        <v>1</v>
      </c>
      <c r="E65" s="728">
        <f>J52</f>
        <v>0</v>
      </c>
      <c r="F65" s="591"/>
      <c r="G65" s="591"/>
      <c r="H65" s="591"/>
      <c r="I65" s="591"/>
      <c r="J65" s="591"/>
      <c r="K65" s="591"/>
      <c r="L65" s="591"/>
      <c r="M65" s="591"/>
      <c r="N65" s="591"/>
      <c r="O65" s="591"/>
      <c r="P65" s="152">
        <f>IF(M56="Yes","",SUM(E65:M65))</f>
        <v>0</v>
      </c>
    </row>
    <row r="66" spans="1:16" outlineLevel="1" x14ac:dyDescent="0.3">
      <c r="C66" s="71" t="s">
        <v>1027</v>
      </c>
      <c r="D66" s="280" t="b">
        <f ca="1">IF(AND(M56="Yes",OR(COUNTIF(F66:O66,"&lt;0")&gt;0,COUNTIF(F66:O66,"&gt;=0")&lt;COUNTIF('D. Annual Schedule Tables'!F16:O16,"&gt;0"))),FALSE,TRUE)</f>
        <v>1</v>
      </c>
      <c r="E66" s="728">
        <f>K52</f>
        <v>0</v>
      </c>
      <c r="F66" s="591"/>
      <c r="G66" s="591"/>
      <c r="H66" s="591"/>
      <c r="I66" s="591"/>
      <c r="J66" s="591"/>
      <c r="K66" s="591"/>
      <c r="L66" s="591"/>
      <c r="M66" s="591"/>
      <c r="N66" s="591"/>
      <c r="O66" s="591"/>
      <c r="P66" s="152">
        <f>IF(M56="Yes","",SUM(E66:M66))</f>
        <v>0</v>
      </c>
    </row>
    <row r="67" spans="1:16" outlineLevel="1" x14ac:dyDescent="0.3">
      <c r="C67" s="726" t="s">
        <v>1024</v>
      </c>
      <c r="D67" s="280" t="b">
        <f ca="1">IF(AND(M56="Yes",OR(COUNTIF(F67:O67,"&lt;0")&gt;0,COUNTIF(F67:O67,"&gt;=0")&lt;COUNTIF('D. Annual Schedule Tables'!F17:O17,"&gt;0"))),FALSE,TRUE)</f>
        <v>1</v>
      </c>
      <c r="E67" s="728">
        <f>L52</f>
        <v>0</v>
      </c>
      <c r="F67" s="591"/>
      <c r="G67" s="591"/>
      <c r="H67" s="591"/>
      <c r="I67" s="591"/>
      <c r="J67" s="591"/>
      <c r="K67" s="591"/>
      <c r="L67" s="591"/>
      <c r="M67" s="591"/>
      <c r="N67" s="591"/>
      <c r="O67" s="591"/>
      <c r="P67" s="152">
        <f>IF(M56="Yes","",SUM(E67:M67))</f>
        <v>0</v>
      </c>
    </row>
    <row r="68" spans="1:16" outlineLevel="1" x14ac:dyDescent="0.3">
      <c r="C68" s="726" t="s">
        <v>1025</v>
      </c>
      <c r="D68" s="280" t="b">
        <f ca="1">IF(AND(M56="Yes",OR(COUNTIF(F68:O68,"&lt;0")&gt;0,COUNTIF(F68:O68,"&gt;=0")&lt;COUNTIF('D. Annual Schedule Tables'!F18:O18,"&gt;0"))),FALSE,TRUE)</f>
        <v>1</v>
      </c>
      <c r="E68" s="728">
        <f>M52</f>
        <v>0</v>
      </c>
      <c r="F68" s="591"/>
      <c r="G68" s="591"/>
      <c r="H68" s="591"/>
      <c r="I68" s="591"/>
      <c r="J68" s="591"/>
      <c r="K68" s="591"/>
      <c r="L68" s="591"/>
      <c r="M68" s="591"/>
      <c r="N68" s="591"/>
      <c r="O68" s="591"/>
      <c r="P68" s="152">
        <f>IF(M56="Yes","",SUM(E68:M68))</f>
        <v>0</v>
      </c>
    </row>
    <row r="69" spans="1:16" outlineLevel="1" x14ac:dyDescent="0.3">
      <c r="C69" s="71" t="s">
        <v>1020</v>
      </c>
      <c r="D69" s="280" t="b">
        <f>IF(AND(M56="Yes",COUNTIF(F69:O69,"&lt;0")&gt;0),FALSE,TRUE)</f>
        <v>1</v>
      </c>
      <c r="F69" s="591"/>
      <c r="G69" s="591"/>
      <c r="H69" s="591"/>
      <c r="I69" s="591"/>
      <c r="J69" s="591"/>
      <c r="K69" s="591"/>
      <c r="L69" s="591"/>
      <c r="M69" s="591"/>
      <c r="N69" s="591"/>
      <c r="O69" s="591"/>
      <c r="P69" s="152">
        <f>IF(M56="Yes","",SUM(E69:M69))</f>
        <v>0</v>
      </c>
    </row>
    <row r="70" spans="1:16" s="1" customFormat="1" ht="15" outlineLevel="1" thickBot="1" x14ac:dyDescent="0.35">
      <c r="C70" s="723" t="s">
        <v>1021</v>
      </c>
      <c r="D70" s="290"/>
      <c r="E70" s="724">
        <f>P52</f>
        <v>90000000</v>
      </c>
      <c r="F70" s="724">
        <f>IF(M56="No",SUM(F60:F69),IF('D. Annual Schedule Tables'!F20&gt;0,E70*(1+P248)^F59,0))</f>
        <v>90000000</v>
      </c>
      <c r="G70" s="724">
        <f>IF(M56="No",SUM(G60:G69),IF('D. Annual Schedule Tables'!G20&gt;0,E70*(1+P248)^G59,0))</f>
        <v>90000000</v>
      </c>
      <c r="H70" s="724">
        <f>IF(M56="No",SUM(H60:H69),IF('D. Annual Schedule Tables'!H20&gt;0,E70*(1+P248)^H59,0))</f>
        <v>90000000</v>
      </c>
      <c r="I70" s="724">
        <f>IF(M56="No",SUM(I60:I69),IF('D. Annual Schedule Tables'!I20&gt;0,E70*(1+P248)^I59,0))</f>
        <v>90000000</v>
      </c>
      <c r="J70" s="724">
        <f>IF(M56="No",SUM(J60:J69),IF('D. Annual Schedule Tables'!J20&gt;0,E70*(1+P248)^J59,0))</f>
        <v>90000000</v>
      </c>
      <c r="K70" s="724">
        <f>IF(M56="No",SUM(K60:K69),IF('D. Annual Schedule Tables'!K20&gt;0,E70*(1+P248)^K59,0))</f>
        <v>90000000</v>
      </c>
      <c r="L70" s="724">
        <f>IF(M56="No",SUM(L60:L69),IF('D. Annual Schedule Tables'!L20&gt;0,E70*(1+P248)^L59,0))</f>
        <v>90000000</v>
      </c>
      <c r="M70" s="724">
        <f>IF(M56="No",SUM(M60:M69),IF('D. Annual Schedule Tables'!M20&gt;0,E70*(1+P248)^M59,0))</f>
        <v>90000000</v>
      </c>
      <c r="N70" s="724">
        <f>IF(M56="No",SUM(N60:N69),IF('D. Annual Schedule Tables'!N20&gt;0,E70*(1+P248)^N59,0))</f>
        <v>90000000</v>
      </c>
      <c r="O70" s="724">
        <f>IF(M56="No",SUM(O60:O69),IF('D. Annual Schedule Tables'!O20&gt;0,E70*(1+P248)^O59,0))</f>
        <v>90000000</v>
      </c>
      <c r="P70" s="148">
        <f>SUM(E70:M70)</f>
        <v>810000000</v>
      </c>
    </row>
    <row r="72" spans="1:16" ht="18" x14ac:dyDescent="0.35">
      <c r="A72" s="239" t="s">
        <v>307</v>
      </c>
      <c r="B72" s="240"/>
      <c r="C72" s="241"/>
    </row>
    <row r="73" spans="1:16" ht="14.55" customHeight="1" x14ac:dyDescent="0.3">
      <c r="P73"/>
    </row>
    <row r="74" spans="1:16" ht="14.55" customHeight="1" x14ac:dyDescent="0.35">
      <c r="A74" s="17"/>
      <c r="B74" s="253" t="s">
        <v>421</v>
      </c>
      <c r="C74" s="254"/>
    </row>
    <row r="75" spans="1:16" ht="14.55" customHeight="1" outlineLevel="1" thickBot="1" x14ac:dyDescent="0.4">
      <c r="A75" s="17"/>
      <c r="B75" s="176"/>
      <c r="C75" s="177"/>
      <c r="D75" s="281"/>
      <c r="E75" s="242"/>
      <c r="F75" s="243"/>
      <c r="G75" s="243"/>
      <c r="H75" s="243"/>
      <c r="I75" s="243"/>
      <c r="J75" s="242" t="s">
        <v>59</v>
      </c>
      <c r="K75" s="243"/>
      <c r="L75" s="243"/>
      <c r="M75" s="243"/>
      <c r="N75" s="243"/>
      <c r="O75" s="244"/>
    </row>
    <row r="76" spans="1:16" ht="16.8" customHeight="1" outlineLevel="1" x14ac:dyDescent="0.3">
      <c r="B76" s="178"/>
      <c r="C76" s="185"/>
      <c r="D76" s="285"/>
      <c r="E76" s="51">
        <v>0</v>
      </c>
      <c r="F76" s="51">
        <v>1</v>
      </c>
      <c r="G76" s="51">
        <v>2</v>
      </c>
      <c r="H76" s="51">
        <v>3</v>
      </c>
      <c r="I76" s="51">
        <v>4</v>
      </c>
      <c r="J76" s="51">
        <v>5</v>
      </c>
      <c r="K76" s="51">
        <v>6</v>
      </c>
      <c r="L76" s="51">
        <v>7</v>
      </c>
      <c r="M76" s="51">
        <v>8</v>
      </c>
      <c r="N76" s="51">
        <v>9</v>
      </c>
      <c r="O76" s="77">
        <v>10</v>
      </c>
      <c r="P76" s="575" t="s">
        <v>2</v>
      </c>
    </row>
    <row r="77" spans="1:16" outlineLevel="1" x14ac:dyDescent="0.3">
      <c r="B77" s="26"/>
      <c r="C77" s="7" t="s">
        <v>420</v>
      </c>
      <c r="D77" s="280" t="b">
        <f ca="1">IF(AND(COUNTIF(F77:O77,"&lt;0")=0,COUNTIF(E77:O77,"&gt;=0")&gt;=COUNTIF('D. Annual Schedule Tables'!E20:O20,"&gt;0")),TRUE,FALSE)</f>
        <v>1</v>
      </c>
      <c r="E77" s="12">
        <v>0</v>
      </c>
      <c r="F77" s="12">
        <v>0</v>
      </c>
      <c r="G77" s="12">
        <v>0</v>
      </c>
      <c r="H77" s="12">
        <v>0</v>
      </c>
      <c r="I77" s="12">
        <v>0</v>
      </c>
      <c r="J77" s="12">
        <v>0</v>
      </c>
      <c r="K77" s="12">
        <v>0</v>
      </c>
      <c r="L77" s="12">
        <v>0</v>
      </c>
      <c r="M77" s="12">
        <v>0</v>
      </c>
      <c r="N77" s="12">
        <v>0</v>
      </c>
      <c r="O77" s="12">
        <v>0</v>
      </c>
      <c r="P77" s="152">
        <f>SUM(E77:O77)</f>
        <v>0</v>
      </c>
    </row>
    <row r="78" spans="1:16" outlineLevel="1" x14ac:dyDescent="0.3">
      <c r="B78" s="26"/>
      <c r="C78" s="7" t="s">
        <v>422</v>
      </c>
      <c r="D78" s="280" t="b">
        <f ca="1">IF(AND(COUNTIF(F78:O78,"&lt;0")=0,COUNTIF(E78:O78,"&gt;=0")&gt;=COUNTIF('D. Annual Schedule Tables'!E20:O20,"&gt;0")),TRUE,FALSE)</f>
        <v>1</v>
      </c>
      <c r="E78" s="12">
        <v>0</v>
      </c>
      <c r="F78" s="12">
        <v>0</v>
      </c>
      <c r="G78" s="12">
        <v>0</v>
      </c>
      <c r="H78" s="12">
        <v>0</v>
      </c>
      <c r="I78" s="12">
        <v>0</v>
      </c>
      <c r="J78" s="12">
        <v>0</v>
      </c>
      <c r="K78" s="12">
        <v>0</v>
      </c>
      <c r="L78" s="12">
        <v>0</v>
      </c>
      <c r="M78" s="12">
        <v>0</v>
      </c>
      <c r="N78" s="12">
        <v>0</v>
      </c>
      <c r="O78" s="12">
        <v>0</v>
      </c>
      <c r="P78" s="152">
        <f>SUM(E78:O78)</f>
        <v>0</v>
      </c>
    </row>
    <row r="79" spans="1:16" s="1" customFormat="1" ht="15" outlineLevel="1" thickBot="1" x14ac:dyDescent="0.35">
      <c r="B79" s="52"/>
      <c r="C79" s="11" t="s">
        <v>434</v>
      </c>
      <c r="D79" s="280"/>
      <c r="E79" s="53">
        <f t="shared" ref="E79:O79" si="7">SUM(E77:E78)</f>
        <v>0</v>
      </c>
      <c r="F79" s="53">
        <f t="shared" si="7"/>
        <v>0</v>
      </c>
      <c r="G79" s="53">
        <f t="shared" si="7"/>
        <v>0</v>
      </c>
      <c r="H79" s="53">
        <f t="shared" si="7"/>
        <v>0</v>
      </c>
      <c r="I79" s="53">
        <f t="shared" si="7"/>
        <v>0</v>
      </c>
      <c r="J79" s="53">
        <f t="shared" si="7"/>
        <v>0</v>
      </c>
      <c r="K79" s="53">
        <f t="shared" si="7"/>
        <v>0</v>
      </c>
      <c r="L79" s="53">
        <f t="shared" si="7"/>
        <v>0</v>
      </c>
      <c r="M79" s="53">
        <f t="shared" si="7"/>
        <v>0</v>
      </c>
      <c r="N79" s="53">
        <f t="shared" si="7"/>
        <v>0</v>
      </c>
      <c r="O79" s="590">
        <f t="shared" si="7"/>
        <v>0</v>
      </c>
      <c r="P79" s="148">
        <f>SUM(E79:O79)</f>
        <v>0</v>
      </c>
    </row>
    <row r="81" spans="2:16" ht="16.2" thickBot="1" x14ac:dyDescent="0.35">
      <c r="B81" s="255" t="s">
        <v>339</v>
      </c>
      <c r="C81" s="256"/>
      <c r="D81" s="281"/>
    </row>
    <row r="82" spans="2:16" ht="15.6" outlineLevel="1" x14ac:dyDescent="0.3">
      <c r="B82" s="36"/>
      <c r="C82" s="215"/>
      <c r="E82" s="252" t="s">
        <v>57</v>
      </c>
      <c r="P82" s="250" t="s">
        <v>2</v>
      </c>
    </row>
    <row r="83" spans="2:16" ht="15.6" outlineLevel="1" x14ac:dyDescent="0.3">
      <c r="B83" s="38"/>
      <c r="C83" s="5" t="s">
        <v>238</v>
      </c>
      <c r="D83" s="280" t="b">
        <f>IF(E83&gt;0,TRUE,FALSE)</f>
        <v>1</v>
      </c>
      <c r="E83" s="93">
        <v>18</v>
      </c>
      <c r="F83" s="20"/>
      <c r="G83" s="20"/>
      <c r="H83" s="20"/>
      <c r="I83" s="20"/>
      <c r="J83" s="20"/>
      <c r="K83" s="20"/>
      <c r="L83" s="20"/>
      <c r="M83" s="20"/>
      <c r="N83" s="20"/>
      <c r="O83" s="20"/>
      <c r="P83" s="115">
        <f>E83</f>
        <v>18</v>
      </c>
    </row>
    <row r="84" spans="2:16" ht="15.6" outlineLevel="1" x14ac:dyDescent="0.3">
      <c r="B84" s="38"/>
      <c r="C84" s="5" t="s">
        <v>370</v>
      </c>
      <c r="D84" s="280" t="b">
        <f>IF(AND(E84&gt;0,E84&lt;=1),TRUE,FALSE)</f>
        <v>1</v>
      </c>
      <c r="E84" s="94">
        <v>0.85</v>
      </c>
      <c r="F84" s="20"/>
      <c r="G84" s="20"/>
      <c r="H84" s="20"/>
      <c r="I84" s="20"/>
      <c r="J84" s="20"/>
      <c r="K84" s="20"/>
      <c r="L84" s="20"/>
      <c r="M84" s="20"/>
      <c r="N84" s="20"/>
      <c r="O84" s="20"/>
      <c r="P84" s="80">
        <f>E84</f>
        <v>0.85</v>
      </c>
    </row>
    <row r="85" spans="2:16" ht="16.2" outlineLevel="1" thickBot="1" x14ac:dyDescent="0.35">
      <c r="B85" s="38"/>
      <c r="C85" s="11" t="s">
        <v>71</v>
      </c>
      <c r="E85" s="95">
        <f>ROUNDUP(E83*E84,0)</f>
        <v>16</v>
      </c>
      <c r="F85" s="20"/>
      <c r="G85" s="20"/>
      <c r="H85" s="20"/>
      <c r="I85" s="20"/>
      <c r="J85" s="20"/>
      <c r="K85" s="20"/>
      <c r="L85" s="20"/>
      <c r="M85" s="20"/>
      <c r="N85" s="20"/>
      <c r="O85" s="20"/>
      <c r="P85" s="118">
        <f>E85</f>
        <v>16</v>
      </c>
    </row>
    <row r="86" spans="2:16" ht="15.6" outlineLevel="1" x14ac:dyDescent="0.3">
      <c r="B86" s="38"/>
      <c r="C86" s="84"/>
      <c r="D86" s="286"/>
      <c r="E86" s="242"/>
      <c r="F86" s="243"/>
      <c r="G86" s="243"/>
      <c r="H86" s="243"/>
      <c r="I86" s="243"/>
      <c r="J86" s="242" t="s">
        <v>59</v>
      </c>
      <c r="K86" s="243"/>
      <c r="L86" s="243"/>
      <c r="M86" s="243"/>
      <c r="N86" s="243"/>
      <c r="O86" s="244"/>
      <c r="P86" s="30"/>
    </row>
    <row r="87" spans="2:16" ht="16.2" outlineLevel="1" thickBot="1" x14ac:dyDescent="0.35">
      <c r="B87" s="38"/>
      <c r="C87" s="84"/>
      <c r="D87" s="286"/>
      <c r="E87" s="51">
        <v>0</v>
      </c>
      <c r="F87" s="51">
        <v>1</v>
      </c>
      <c r="G87" s="51">
        <v>2</v>
      </c>
      <c r="H87" s="51">
        <v>3</v>
      </c>
      <c r="I87" s="51">
        <v>4</v>
      </c>
      <c r="J87" s="51">
        <v>5</v>
      </c>
      <c r="K87" s="51">
        <v>6</v>
      </c>
      <c r="L87" s="51">
        <v>7</v>
      </c>
      <c r="M87" s="51">
        <v>8</v>
      </c>
      <c r="N87" s="51">
        <v>9</v>
      </c>
      <c r="O87" s="51">
        <v>10</v>
      </c>
      <c r="P87" s="30"/>
    </row>
    <row r="88" spans="2:16" ht="15.6" outlineLevel="1" x14ac:dyDescent="0.3">
      <c r="B88" s="38"/>
      <c r="C88" s="3" t="s">
        <v>77</v>
      </c>
      <c r="E88" s="73">
        <f ca="1">IF('D. Annual Schedule Tables'!E71&gt;0,'D. Annual Schedule Tables'!E71,"")</f>
        <v>1157</v>
      </c>
      <c r="F88" s="73">
        <f ca="1">IF('D. Annual Schedule Tables'!F71&gt;0,'D. Annual Schedule Tables'!F71,"")</f>
        <v>1188</v>
      </c>
      <c r="G88" s="73">
        <f ca="1">IF('D. Annual Schedule Tables'!G71&gt;0,'D. Annual Schedule Tables'!G71,"")</f>
        <v>1219</v>
      </c>
      <c r="H88" s="73">
        <f ca="1">IF('D. Annual Schedule Tables'!H71&gt;0,'D. Annual Schedule Tables'!H71,"")</f>
        <v>1250</v>
      </c>
      <c r="I88" s="73">
        <f ca="1">IF('D. Annual Schedule Tables'!I71&gt;0,'D. Annual Schedule Tables'!I71,"")</f>
        <v>1282</v>
      </c>
      <c r="J88" s="73">
        <f ca="1">IF('D. Annual Schedule Tables'!J71&gt;0,'D. Annual Schedule Tables'!J71,"")</f>
        <v>1313</v>
      </c>
      <c r="K88" s="73">
        <f ca="1">IF('D. Annual Schedule Tables'!K71&gt;0,'D. Annual Schedule Tables'!K71,"")</f>
        <v>1344</v>
      </c>
      <c r="L88" s="73">
        <f ca="1">IF('D. Annual Schedule Tables'!L71&gt;0,'D. Annual Schedule Tables'!L71,"")</f>
        <v>1375</v>
      </c>
      <c r="M88" s="73">
        <f ca="1">IF('D. Annual Schedule Tables'!M71&gt;0,'D. Annual Schedule Tables'!M71,"")</f>
        <v>1407</v>
      </c>
      <c r="N88" s="73">
        <f ca="1">IF('D. Annual Schedule Tables'!N71&gt;0,'D. Annual Schedule Tables'!N71,"")</f>
        <v>1438</v>
      </c>
      <c r="O88" s="73">
        <f ca="1">IF('D. Annual Schedule Tables'!O71&gt;0,'D. Annual Schedule Tables'!O71,"")</f>
        <v>1469</v>
      </c>
      <c r="P88" s="119">
        <f t="shared" ref="P88:P91" ca="1" si="8">IF(ISNA(INDEX(E88:O88,MATCH(9.99999999999999E+307,E88:O88))),"",INDEX(E88:O88,MATCH(9.99999999999999E+307,E88:O88)))</f>
        <v>1469</v>
      </c>
    </row>
    <row r="89" spans="2:16" ht="15.6" outlineLevel="1" x14ac:dyDescent="0.3">
      <c r="B89" s="38"/>
      <c r="C89" s="5" t="s">
        <v>78</v>
      </c>
      <c r="E89" s="73">
        <f ca="1">IF('D. Annual Schedule Tables'!E72&gt;0,'D. Annual Schedule Tables'!E72,"")</f>
        <v>41</v>
      </c>
      <c r="F89" s="73">
        <f ca="1">IF('D. Annual Schedule Tables'!F72&gt;0,'D. Annual Schedule Tables'!F72,"")</f>
        <v>41</v>
      </c>
      <c r="G89" s="73">
        <f ca="1">IF('D. Annual Schedule Tables'!G72&gt;0,'D. Annual Schedule Tables'!G72,"")</f>
        <v>41</v>
      </c>
      <c r="H89" s="73">
        <f ca="1">IF('D. Annual Schedule Tables'!H72&gt;0,'D. Annual Schedule Tables'!H72,"")</f>
        <v>41</v>
      </c>
      <c r="I89" s="73">
        <f ca="1">IF('D. Annual Schedule Tables'!I72&gt;0,'D. Annual Schedule Tables'!I72,"")</f>
        <v>41</v>
      </c>
      <c r="J89" s="73">
        <f ca="1">IF('D. Annual Schedule Tables'!J72&gt;0,'D. Annual Schedule Tables'!J72,"")</f>
        <v>41</v>
      </c>
      <c r="K89" s="73">
        <f ca="1">IF('D. Annual Schedule Tables'!K72&gt;0,'D. Annual Schedule Tables'!K72,"")</f>
        <v>41</v>
      </c>
      <c r="L89" s="73">
        <f ca="1">IF('D. Annual Schedule Tables'!L72&gt;0,'D. Annual Schedule Tables'!L72,"")</f>
        <v>41</v>
      </c>
      <c r="M89" s="73">
        <f ca="1">IF('D. Annual Schedule Tables'!M72&gt;0,'D. Annual Schedule Tables'!M72,"")</f>
        <v>41</v>
      </c>
      <c r="N89" s="73">
        <f ca="1">IF('D. Annual Schedule Tables'!N72&gt;0,'D. Annual Schedule Tables'!N72,"")</f>
        <v>41</v>
      </c>
      <c r="O89" s="73">
        <f ca="1">IF('D. Annual Schedule Tables'!O72&gt;0,'D. Annual Schedule Tables'!O72,"")</f>
        <v>41</v>
      </c>
      <c r="P89" s="120">
        <f t="shared" ca="1" si="8"/>
        <v>41</v>
      </c>
    </row>
    <row r="90" spans="2:16" ht="15.6" outlineLevel="1" x14ac:dyDescent="0.3">
      <c r="B90" s="38"/>
      <c r="C90" s="5" t="s">
        <v>79</v>
      </c>
      <c r="E90" s="73" t="str">
        <f ca="1">IF('D. Annual Schedule Tables'!E73&gt;0,'D. Annual Schedule Tables'!E73,"")</f>
        <v/>
      </c>
      <c r="F90" s="73" t="str">
        <f ca="1">IF('D. Annual Schedule Tables'!F73&gt;0,'D. Annual Schedule Tables'!F73,"")</f>
        <v/>
      </c>
      <c r="G90" s="73" t="str">
        <f ca="1">IF('D. Annual Schedule Tables'!G73&gt;0,'D. Annual Schedule Tables'!G73,"")</f>
        <v/>
      </c>
      <c r="H90" s="73" t="str">
        <f ca="1">IF('D. Annual Schedule Tables'!H73&gt;0,'D. Annual Schedule Tables'!H73,"")</f>
        <v/>
      </c>
      <c r="I90" s="73" t="str">
        <f ca="1">IF('D. Annual Schedule Tables'!I73&gt;0,'D. Annual Schedule Tables'!I73,"")</f>
        <v/>
      </c>
      <c r="J90" s="73" t="str">
        <f ca="1">IF('D. Annual Schedule Tables'!J73&gt;0,'D. Annual Schedule Tables'!J73,"")</f>
        <v/>
      </c>
      <c r="K90" s="73" t="str">
        <f ca="1">IF('D. Annual Schedule Tables'!K73&gt;0,'D. Annual Schedule Tables'!K73,"")</f>
        <v/>
      </c>
      <c r="L90" s="73" t="str">
        <f ca="1">IF('D. Annual Schedule Tables'!L73&gt;0,'D. Annual Schedule Tables'!L73,"")</f>
        <v/>
      </c>
      <c r="M90" s="73" t="str">
        <f ca="1">IF('D. Annual Schedule Tables'!M73&gt;0,'D. Annual Schedule Tables'!M73,"")</f>
        <v/>
      </c>
      <c r="N90" s="73" t="str">
        <f ca="1">IF('D. Annual Schedule Tables'!N73&gt;0,'D. Annual Schedule Tables'!N73,"")</f>
        <v/>
      </c>
      <c r="O90" s="73" t="str">
        <f ca="1">IF('D. Annual Schedule Tables'!O73&gt;0,'D. Annual Schedule Tables'!O73,"")</f>
        <v/>
      </c>
      <c r="P90" s="120" t="str">
        <f t="shared" ca="1" si="8"/>
        <v/>
      </c>
    </row>
    <row r="91" spans="2:16" ht="15" outlineLevel="1" thickBot="1" x14ac:dyDescent="0.35">
      <c r="B91" s="83"/>
      <c r="C91" s="11" t="s">
        <v>70</v>
      </c>
      <c r="E91" s="54">
        <f t="shared" ref="E91:O91" ca="1" si="9">IF(SUM(E88:E90)&gt;0,SUM(E88:E90),"")</f>
        <v>1198</v>
      </c>
      <c r="F91" s="54">
        <f t="shared" ca="1" si="9"/>
        <v>1229</v>
      </c>
      <c r="G91" s="54">
        <f t="shared" ca="1" si="9"/>
        <v>1260</v>
      </c>
      <c r="H91" s="54">
        <f t="shared" ca="1" si="9"/>
        <v>1291</v>
      </c>
      <c r="I91" s="54">
        <f t="shared" ca="1" si="9"/>
        <v>1323</v>
      </c>
      <c r="J91" s="54">
        <f t="shared" ca="1" si="9"/>
        <v>1354</v>
      </c>
      <c r="K91" s="54">
        <f t="shared" ca="1" si="9"/>
        <v>1385</v>
      </c>
      <c r="L91" s="54">
        <f t="shared" ca="1" si="9"/>
        <v>1416</v>
      </c>
      <c r="M91" s="54">
        <f t="shared" ca="1" si="9"/>
        <v>1448</v>
      </c>
      <c r="N91" s="54">
        <f t="shared" ca="1" si="9"/>
        <v>1479</v>
      </c>
      <c r="O91" s="81">
        <f t="shared" ca="1" si="9"/>
        <v>1510</v>
      </c>
      <c r="P91" s="121">
        <f t="shared" ca="1" si="8"/>
        <v>1510</v>
      </c>
    </row>
    <row r="92" spans="2:16" ht="15.6" x14ac:dyDescent="0.3">
      <c r="B92" s="18"/>
      <c r="C92" s="9"/>
      <c r="D92" s="285"/>
      <c r="E92" s="19"/>
      <c r="F92" s="19"/>
      <c r="G92" s="19"/>
      <c r="H92" s="19"/>
      <c r="I92" s="19"/>
      <c r="J92" s="19"/>
      <c r="K92" s="19"/>
      <c r="L92" s="19"/>
      <c r="M92" s="19"/>
      <c r="N92" s="19"/>
      <c r="O92" s="19"/>
      <c r="P92" s="30"/>
    </row>
    <row r="93" spans="2:16" ht="16.2" thickBot="1" x14ac:dyDescent="0.35">
      <c r="B93" s="255" t="s">
        <v>340</v>
      </c>
      <c r="C93" s="257"/>
      <c r="D93" s="281"/>
    </row>
    <row r="94" spans="2:16" ht="15.6" outlineLevel="1" x14ac:dyDescent="0.3">
      <c r="B94" s="36"/>
      <c r="C94" s="215"/>
      <c r="E94" s="252" t="s">
        <v>57</v>
      </c>
      <c r="F94" s="20"/>
      <c r="G94" s="20"/>
      <c r="H94" s="20"/>
      <c r="I94" s="20"/>
      <c r="J94" s="20"/>
      <c r="K94" s="20"/>
      <c r="L94" s="20"/>
      <c r="M94" s="20"/>
      <c r="N94" s="20"/>
      <c r="O94" s="20"/>
      <c r="P94" s="345" t="s">
        <v>2</v>
      </c>
    </row>
    <row r="95" spans="2:16" ht="15.6" outlineLevel="1" x14ac:dyDescent="0.3">
      <c r="B95" s="39"/>
      <c r="C95" s="3" t="s">
        <v>72</v>
      </c>
      <c r="D95" s="280" t="b">
        <f>IF(E95&gt;0,TRUE,FALSE)</f>
        <v>1</v>
      </c>
      <c r="E95" s="93">
        <v>8</v>
      </c>
      <c r="F95" s="20"/>
      <c r="G95" s="20"/>
      <c r="H95" s="20"/>
      <c r="I95" s="20"/>
      <c r="J95" s="20"/>
      <c r="K95" s="20"/>
      <c r="L95" s="20"/>
      <c r="M95" s="20"/>
      <c r="N95" s="20"/>
      <c r="O95" s="20"/>
      <c r="P95" s="115">
        <f>E95</f>
        <v>8</v>
      </c>
    </row>
    <row r="96" spans="2:16" ht="16.2" outlineLevel="1" thickBot="1" x14ac:dyDescent="0.35">
      <c r="B96" s="39"/>
      <c r="C96" s="3" t="s">
        <v>428</v>
      </c>
      <c r="D96" s="280" t="b">
        <f>IF(E96&gt;=0,TRUE,FALSE)</f>
        <v>1</v>
      </c>
      <c r="E96" s="93">
        <v>1</v>
      </c>
      <c r="F96" s="20"/>
      <c r="G96" s="20"/>
      <c r="H96" s="20"/>
      <c r="I96" s="20"/>
      <c r="J96" s="20"/>
      <c r="K96" s="20"/>
      <c r="L96" s="20"/>
      <c r="M96" s="20"/>
      <c r="N96" s="20"/>
      <c r="O96" s="20"/>
      <c r="P96" s="346">
        <f>E96</f>
        <v>1</v>
      </c>
    </row>
    <row r="97" spans="2:16" ht="16.2" outlineLevel="1" thickBot="1" x14ac:dyDescent="0.35">
      <c r="B97" s="39"/>
      <c r="C97" s="3" t="s">
        <v>73</v>
      </c>
      <c r="E97" s="91"/>
      <c r="F97" s="20"/>
      <c r="G97" s="20"/>
      <c r="H97" s="20"/>
      <c r="I97" s="20"/>
      <c r="J97" s="20"/>
      <c r="K97" s="20"/>
      <c r="L97" s="20"/>
      <c r="M97" s="20"/>
      <c r="N97" s="20"/>
      <c r="O97" s="20"/>
      <c r="P97" s="85"/>
    </row>
    <row r="98" spans="2:16" ht="15.6" outlineLevel="1" x14ac:dyDescent="0.3">
      <c r="B98" s="39"/>
      <c r="C98" s="10" t="s">
        <v>74</v>
      </c>
      <c r="D98" s="280" t="b">
        <f>IF(E98&gt;0,TRUE,FALSE)</f>
        <v>1</v>
      </c>
      <c r="E98" s="93">
        <v>2</v>
      </c>
      <c r="F98" s="20"/>
      <c r="G98" s="20"/>
      <c r="H98" s="20"/>
      <c r="I98" s="20"/>
      <c r="J98" s="20"/>
      <c r="K98" s="20"/>
      <c r="L98" s="20"/>
      <c r="M98" s="20"/>
      <c r="N98" s="20"/>
      <c r="O98" s="20"/>
      <c r="P98" s="123">
        <f>E98</f>
        <v>2</v>
      </c>
    </row>
    <row r="99" spans="2:16" ht="15.6" outlineLevel="1" x14ac:dyDescent="0.3">
      <c r="B99" s="39"/>
      <c r="C99" s="10" t="s">
        <v>75</v>
      </c>
      <c r="D99" s="280" t="b">
        <f>IF(E99&gt;0,TRUE,FALSE)</f>
        <v>1</v>
      </c>
      <c r="E99" s="93">
        <v>1</v>
      </c>
      <c r="F99" s="20"/>
      <c r="G99" s="20"/>
      <c r="H99" s="20"/>
      <c r="I99" s="20"/>
      <c r="J99" s="20"/>
      <c r="K99" s="20"/>
      <c r="L99" s="20"/>
      <c r="M99" s="20"/>
      <c r="N99" s="20"/>
      <c r="O99" s="20"/>
      <c r="P99" s="122">
        <f>E99</f>
        <v>1</v>
      </c>
    </row>
    <row r="100" spans="2:16" ht="16.2" outlineLevel="1" thickBot="1" x14ac:dyDescent="0.35">
      <c r="B100" s="39"/>
      <c r="C100" s="10" t="s">
        <v>76</v>
      </c>
      <c r="D100" s="280" t="b">
        <f>IF(E100&gt;0,TRUE,FALSE)</f>
        <v>1</v>
      </c>
      <c r="E100" s="93">
        <v>0.6</v>
      </c>
      <c r="F100" s="20"/>
      <c r="G100" s="20"/>
      <c r="H100" s="20"/>
      <c r="I100" s="20"/>
      <c r="J100" s="20"/>
      <c r="K100" s="20"/>
      <c r="L100" s="20"/>
      <c r="M100" s="20"/>
      <c r="N100" s="20"/>
      <c r="O100" s="20"/>
      <c r="P100" s="124">
        <f>E100</f>
        <v>0.6</v>
      </c>
    </row>
    <row r="101" spans="2:16" ht="15.6" outlineLevel="1" x14ac:dyDescent="0.3">
      <c r="B101" s="39"/>
      <c r="C101" s="84"/>
      <c r="E101" s="242"/>
      <c r="F101" s="243"/>
      <c r="G101" s="243"/>
      <c r="H101" s="243"/>
      <c r="I101" s="243"/>
      <c r="J101" s="242" t="s">
        <v>59</v>
      </c>
      <c r="K101" s="243"/>
      <c r="L101" s="243"/>
      <c r="M101" s="243"/>
      <c r="N101" s="243"/>
      <c r="O101" s="244"/>
      <c r="P101" s="74"/>
    </row>
    <row r="102" spans="2:16" ht="16.2" outlineLevel="1" thickBot="1" x14ac:dyDescent="0.35">
      <c r="B102" s="39"/>
      <c r="C102" s="84"/>
      <c r="E102" s="51">
        <v>0</v>
      </c>
      <c r="F102" s="51">
        <v>1</v>
      </c>
      <c r="G102" s="51">
        <v>2</v>
      </c>
      <c r="H102" s="51">
        <v>3</v>
      </c>
      <c r="I102" s="51">
        <v>4</v>
      </c>
      <c r="J102" s="51">
        <v>5</v>
      </c>
      <c r="K102" s="51">
        <v>6</v>
      </c>
      <c r="L102" s="51">
        <v>7</v>
      </c>
      <c r="M102" s="51">
        <v>8</v>
      </c>
      <c r="N102" s="51">
        <v>9</v>
      </c>
      <c r="O102" s="51">
        <v>10</v>
      </c>
      <c r="P102" s="85"/>
    </row>
    <row r="103" spans="2:16" s="1" customFormat="1" ht="15.6" outlineLevel="1" x14ac:dyDescent="0.3">
      <c r="B103" s="39"/>
      <c r="C103" s="11" t="s">
        <v>151</v>
      </c>
      <c r="D103" s="280"/>
      <c r="E103" s="16">
        <f ca="1">IF('D. Annual Schedule Tables'!E108&gt;0,'D. Annual Schedule Tables'!E108,"")</f>
        <v>620</v>
      </c>
      <c r="F103" s="16">
        <f ca="1">IF('D. Annual Schedule Tables'!F108&gt;0,'D. Annual Schedule Tables'!F108,"")</f>
        <v>635</v>
      </c>
      <c r="G103" s="16">
        <f ca="1">IF('D. Annual Schedule Tables'!G108&gt;0,'D. Annual Schedule Tables'!G108,"")</f>
        <v>651</v>
      </c>
      <c r="H103" s="16">
        <f ca="1">IF('D. Annual Schedule Tables'!H108&gt;0,'D. Annual Schedule Tables'!H108,"")</f>
        <v>666</v>
      </c>
      <c r="I103" s="16">
        <f ca="1">IF('D. Annual Schedule Tables'!I108&gt;0,'D. Annual Schedule Tables'!I108,"")</f>
        <v>682</v>
      </c>
      <c r="J103" s="16">
        <f ca="1">IF('D. Annual Schedule Tables'!J108&gt;0,'D. Annual Schedule Tables'!J108,"")</f>
        <v>698</v>
      </c>
      <c r="K103" s="16">
        <f ca="1">IF('D. Annual Schedule Tables'!K108&gt;0,'D. Annual Schedule Tables'!K108,"")</f>
        <v>713</v>
      </c>
      <c r="L103" s="16">
        <f ca="1">IF('D. Annual Schedule Tables'!L108&gt;0,'D. Annual Schedule Tables'!L108,"")</f>
        <v>729</v>
      </c>
      <c r="M103" s="16">
        <f ca="1">IF('D. Annual Schedule Tables'!M108&gt;0,'D. Annual Schedule Tables'!M108,"")</f>
        <v>745</v>
      </c>
      <c r="N103" s="16">
        <f ca="1">IF('D. Annual Schedule Tables'!N108&gt;0,'D. Annual Schedule Tables'!N108,"")</f>
        <v>760</v>
      </c>
      <c r="O103" s="16">
        <f ca="1">IF('D. Annual Schedule Tables'!O108&gt;0,'D. Annual Schedule Tables'!O108,"")</f>
        <v>776</v>
      </c>
      <c r="P103" s="125">
        <f t="shared" ref="P103" ca="1" si="10">IF(ISNA(INDEX(E103:O103,MATCH(9.99999999999999E+307,E103:O103))),"",INDEX(E103:O103,MATCH(9.99999999999999E+307,E103:O103)))</f>
        <v>776</v>
      </c>
    </row>
    <row r="104" spans="2:16" s="1" customFormat="1" ht="15" outlineLevel="1" thickBot="1" x14ac:dyDescent="0.35">
      <c r="B104" s="55"/>
      <c r="C104" s="11" t="s">
        <v>152</v>
      </c>
      <c r="D104" s="280"/>
      <c r="E104" s="16">
        <f ca="1">IF('D. Annual Schedule Tables'!E127&gt;0,'D. Annual Schedule Tables'!E127,"")</f>
        <v>619</v>
      </c>
      <c r="F104" s="16">
        <f ca="1">IF('D. Annual Schedule Tables'!F127&gt;0,'D. Annual Schedule Tables'!F127,"")</f>
        <v>635</v>
      </c>
      <c r="G104" s="16">
        <f ca="1">IF('D. Annual Schedule Tables'!G127&gt;0,'D. Annual Schedule Tables'!G127,"")</f>
        <v>650</v>
      </c>
      <c r="H104" s="16">
        <f ca="1">IF('D. Annual Schedule Tables'!H127&gt;0,'D. Annual Schedule Tables'!H127,"")</f>
        <v>666</v>
      </c>
      <c r="I104" s="16">
        <f ca="1">IF('D. Annual Schedule Tables'!I127&gt;0,'D. Annual Schedule Tables'!I127,"")</f>
        <v>682</v>
      </c>
      <c r="J104" s="16">
        <f ca="1">IF('D. Annual Schedule Tables'!J127&gt;0,'D. Annual Schedule Tables'!J127,"")</f>
        <v>697</v>
      </c>
      <c r="K104" s="16">
        <f ca="1">IF('D. Annual Schedule Tables'!K127&gt;0,'D. Annual Schedule Tables'!K127,"")</f>
        <v>713</v>
      </c>
      <c r="L104" s="16">
        <f ca="1">IF('D. Annual Schedule Tables'!L127&gt;0,'D. Annual Schedule Tables'!L127,"")</f>
        <v>728</v>
      </c>
      <c r="M104" s="16">
        <f ca="1">IF('D. Annual Schedule Tables'!M127&gt;0,'D. Annual Schedule Tables'!M127,"")</f>
        <v>744</v>
      </c>
      <c r="N104" s="16">
        <f ca="1">IF('D. Annual Schedule Tables'!N127&gt;0,'D. Annual Schedule Tables'!N127,"")</f>
        <v>760</v>
      </c>
      <c r="O104" s="16">
        <f ca="1">IF('D. Annual Schedule Tables'!O127&gt;0,'D. Annual Schedule Tables'!O127,"")</f>
        <v>775</v>
      </c>
      <c r="P104" s="129">
        <f ca="1">IF(ISNA(INDEX(E104:O104,MATCH(9.99999999999999E+307,E104:O104))),"",INDEX(E104:O104,MATCH(9.99999999999999E+307,E104:O104)))</f>
        <v>775</v>
      </c>
    </row>
    <row r="106" spans="2:16" ht="16.2" thickBot="1" x14ac:dyDescent="0.35">
      <c r="B106" s="255" t="s">
        <v>341</v>
      </c>
      <c r="C106" s="256"/>
    </row>
    <row r="107" spans="2:16" ht="15.6" outlineLevel="1" x14ac:dyDescent="0.3">
      <c r="B107" s="36"/>
      <c r="C107" s="215"/>
      <c r="D107" s="285"/>
      <c r="E107" s="252" t="s">
        <v>57</v>
      </c>
      <c r="P107" s="250" t="s">
        <v>2</v>
      </c>
    </row>
    <row r="108" spans="2:16" ht="15.6" outlineLevel="1" x14ac:dyDescent="0.3">
      <c r="B108" s="38"/>
      <c r="C108" s="7" t="s">
        <v>67</v>
      </c>
      <c r="D108" s="280" t="b">
        <f>IF(E108&gt;0,TRUE,FALSE)</f>
        <v>1</v>
      </c>
      <c r="E108" s="93">
        <v>2</v>
      </c>
      <c r="F108" s="20"/>
      <c r="G108" s="20"/>
      <c r="H108" s="20"/>
      <c r="I108" s="20"/>
      <c r="J108" s="20"/>
      <c r="K108" s="20"/>
      <c r="L108" s="20"/>
      <c r="M108" s="20"/>
      <c r="N108" s="20"/>
      <c r="O108" s="20"/>
      <c r="P108" s="126">
        <f>E108</f>
        <v>2</v>
      </c>
    </row>
    <row r="109" spans="2:16" ht="15.6" outlineLevel="1" x14ac:dyDescent="0.3">
      <c r="B109" s="38"/>
      <c r="C109" s="7" t="s">
        <v>68</v>
      </c>
      <c r="D109" s="280" t="b">
        <f>IF(E109&gt;0,TRUE,FALSE)</f>
        <v>1</v>
      </c>
      <c r="E109" s="93">
        <v>2</v>
      </c>
      <c r="F109" s="20"/>
      <c r="G109" s="20"/>
      <c r="H109" s="20"/>
      <c r="I109" s="20"/>
      <c r="J109" s="20"/>
      <c r="K109" s="20"/>
      <c r="L109" s="20"/>
      <c r="M109" s="20"/>
      <c r="N109" s="20"/>
      <c r="O109" s="20"/>
      <c r="P109" s="126">
        <f>E109</f>
        <v>2</v>
      </c>
    </row>
    <row r="110" spans="2:16" ht="16.2" outlineLevel="1" thickBot="1" x14ac:dyDescent="0.35">
      <c r="B110" s="38"/>
      <c r="C110" s="7" t="s">
        <v>69</v>
      </c>
      <c r="D110" s="280" t="b">
        <f>IF(E110&gt;0,TRUE,FALSE)</f>
        <v>1</v>
      </c>
      <c r="E110" s="156">
        <v>3</v>
      </c>
      <c r="F110" s="20"/>
      <c r="G110" s="20"/>
      <c r="H110" s="20"/>
      <c r="I110" s="20"/>
      <c r="J110" s="20"/>
      <c r="K110" s="20"/>
      <c r="L110" s="20"/>
      <c r="M110" s="20"/>
      <c r="N110" s="20"/>
      <c r="O110" s="20"/>
      <c r="P110" s="139">
        <f>E110</f>
        <v>3</v>
      </c>
    </row>
    <row r="111" spans="2:16" ht="15.6" outlineLevel="1" x14ac:dyDescent="0.3">
      <c r="B111" s="38"/>
      <c r="C111" s="140"/>
      <c r="E111" s="242"/>
      <c r="F111" s="243"/>
      <c r="G111" s="243"/>
      <c r="H111" s="243"/>
      <c r="I111" s="243"/>
      <c r="J111" s="242" t="s">
        <v>59</v>
      </c>
      <c r="K111" s="243"/>
      <c r="L111" s="243"/>
      <c r="M111" s="243"/>
      <c r="N111" s="243"/>
      <c r="O111" s="244"/>
      <c r="P111" s="85"/>
    </row>
    <row r="112" spans="2:16" ht="16.2" outlineLevel="1" thickBot="1" x14ac:dyDescent="0.35">
      <c r="B112" s="38"/>
      <c r="C112" s="141"/>
      <c r="E112" s="51">
        <v>0</v>
      </c>
      <c r="F112" s="51">
        <v>1</v>
      </c>
      <c r="G112" s="51">
        <v>2</v>
      </c>
      <c r="H112" s="51">
        <v>3</v>
      </c>
      <c r="I112" s="51">
        <v>4</v>
      </c>
      <c r="J112" s="51">
        <v>5</v>
      </c>
      <c r="K112" s="51">
        <v>6</v>
      </c>
      <c r="L112" s="51">
        <v>7</v>
      </c>
      <c r="M112" s="51">
        <v>8</v>
      </c>
      <c r="N112" s="51">
        <v>9</v>
      </c>
      <c r="O112" s="51">
        <v>10</v>
      </c>
      <c r="P112" s="85"/>
    </row>
    <row r="113" spans="2:17" outlineLevel="1" x14ac:dyDescent="0.3">
      <c r="B113" s="82">
        <v>0</v>
      </c>
      <c r="C113" s="13" t="s">
        <v>81</v>
      </c>
      <c r="E113" s="3" t="str">
        <f ca="1">IF('D. Annual Schedule Tables'!E134&gt;0,'D. Annual Schedule Tables'!E134,"")</f>
        <v/>
      </c>
      <c r="F113" s="3" t="str">
        <f ca="1">IF('D. Annual Schedule Tables'!F134&gt;0,'D. Annual Schedule Tables'!F134,"")</f>
        <v/>
      </c>
      <c r="G113" s="3" t="str">
        <f ca="1">IF('D. Annual Schedule Tables'!G134&gt;0,'D. Annual Schedule Tables'!G134,"")</f>
        <v/>
      </c>
      <c r="H113" s="3" t="str">
        <f ca="1">IF('D. Annual Schedule Tables'!H134&gt;0,'D. Annual Schedule Tables'!H134,"")</f>
        <v/>
      </c>
      <c r="I113" s="3" t="str">
        <f ca="1">IF('D. Annual Schedule Tables'!I134&gt;0,'D. Annual Schedule Tables'!I134,"")</f>
        <v/>
      </c>
      <c r="J113" s="3" t="str">
        <f ca="1">IF('D. Annual Schedule Tables'!J134&gt;0,'D. Annual Schedule Tables'!J134,"")</f>
        <v/>
      </c>
      <c r="K113" s="3" t="str">
        <f ca="1">IF('D. Annual Schedule Tables'!K134&gt;0,'D. Annual Schedule Tables'!K134,"")</f>
        <v/>
      </c>
      <c r="L113" s="3" t="str">
        <f ca="1">IF('D. Annual Schedule Tables'!L134&gt;0,'D. Annual Schedule Tables'!L134,"")</f>
        <v/>
      </c>
      <c r="M113" s="3" t="str">
        <f ca="1">IF('D. Annual Schedule Tables'!M134&gt;0,'D. Annual Schedule Tables'!M134,"")</f>
        <v/>
      </c>
      <c r="N113" s="3" t="str">
        <f ca="1">IF('D. Annual Schedule Tables'!N134&gt;0,'D. Annual Schedule Tables'!N134,"")</f>
        <v/>
      </c>
      <c r="O113" s="3" t="str">
        <f ca="1">IF('D. Annual Schedule Tables'!O134&gt;0,'D. Annual Schedule Tables'!O134,"")</f>
        <v/>
      </c>
      <c r="P113" s="127" t="str">
        <f t="shared" ref="P113:P116" ca="1" si="11">IF(ISNA(INDEX(E113:O113,MATCH(9.99999999999999E+307,E113:O113))),"",INDEX(E113:O113,MATCH(9.99999999999999E+307,E113:O113)))</f>
        <v/>
      </c>
    </row>
    <row r="114" spans="2:17" outlineLevel="1" x14ac:dyDescent="0.3">
      <c r="B114" s="82">
        <v>0</v>
      </c>
      <c r="C114" s="13" t="s">
        <v>82</v>
      </c>
      <c r="D114" s="285"/>
      <c r="E114" s="3">
        <f ca="1">IF('D. Annual Schedule Tables'!E135&gt;0,'D. Annual Schedule Tables'!E135,"")</f>
        <v>310</v>
      </c>
      <c r="F114" s="3">
        <f ca="1">IF('D. Annual Schedule Tables'!F135&gt;0,'D. Annual Schedule Tables'!F135,"")</f>
        <v>318</v>
      </c>
      <c r="G114" s="3">
        <f ca="1">IF('D. Annual Schedule Tables'!G135&gt;0,'D. Annual Schedule Tables'!G135,"")</f>
        <v>326</v>
      </c>
      <c r="H114" s="3">
        <f ca="1">IF('D. Annual Schedule Tables'!H135&gt;0,'D. Annual Schedule Tables'!H135,"")</f>
        <v>333</v>
      </c>
      <c r="I114" s="3">
        <f ca="1">IF('D. Annual Schedule Tables'!I135&gt;0,'D. Annual Schedule Tables'!I135,"")</f>
        <v>341</v>
      </c>
      <c r="J114" s="3">
        <f ca="1">IF('D. Annual Schedule Tables'!J135&gt;0,'D. Annual Schedule Tables'!J135,"")</f>
        <v>349</v>
      </c>
      <c r="K114" s="3">
        <f ca="1">IF('D. Annual Schedule Tables'!K135&gt;0,'D. Annual Schedule Tables'!K135,"")</f>
        <v>357</v>
      </c>
      <c r="L114" s="3">
        <f ca="1">IF('D. Annual Schedule Tables'!L135&gt;0,'D. Annual Schedule Tables'!L135,"")</f>
        <v>365</v>
      </c>
      <c r="M114" s="3">
        <f ca="1">IF('D. Annual Schedule Tables'!M135&gt;0,'D. Annual Schedule Tables'!M135,"")</f>
        <v>373</v>
      </c>
      <c r="N114" s="3">
        <f ca="1">IF('D. Annual Schedule Tables'!N135&gt;0,'D. Annual Schedule Tables'!N135,"")</f>
        <v>380</v>
      </c>
      <c r="O114" s="3">
        <f ca="1">IF('D. Annual Schedule Tables'!O135&gt;0,'D. Annual Schedule Tables'!O135,"")</f>
        <v>388</v>
      </c>
      <c r="P114" s="128">
        <f t="shared" ca="1" si="11"/>
        <v>388</v>
      </c>
    </row>
    <row r="115" spans="2:17" outlineLevel="1" x14ac:dyDescent="0.3">
      <c r="B115" s="82">
        <v>0</v>
      </c>
      <c r="C115" s="13" t="s">
        <v>83</v>
      </c>
      <c r="D115" s="285"/>
      <c r="E115" s="3" t="str">
        <f ca="1">IF('D. Annual Schedule Tables'!E136&gt;0,'D. Annual Schedule Tables'!E136,"")</f>
        <v/>
      </c>
      <c r="F115" s="3" t="str">
        <f ca="1">IF('D. Annual Schedule Tables'!F136&gt;0,'D. Annual Schedule Tables'!F136,"")</f>
        <v/>
      </c>
      <c r="G115" s="3" t="str">
        <f ca="1">IF('D. Annual Schedule Tables'!G136&gt;0,'D. Annual Schedule Tables'!G136,"")</f>
        <v/>
      </c>
      <c r="H115" s="3" t="str">
        <f ca="1">IF('D. Annual Schedule Tables'!H136&gt;0,'D. Annual Schedule Tables'!H136,"")</f>
        <v/>
      </c>
      <c r="I115" s="3" t="str">
        <f ca="1">IF('D. Annual Schedule Tables'!I136&gt;0,'D. Annual Schedule Tables'!I136,"")</f>
        <v/>
      </c>
      <c r="J115" s="3" t="str">
        <f ca="1">IF('D. Annual Schedule Tables'!J136&gt;0,'D. Annual Schedule Tables'!J136,"")</f>
        <v/>
      </c>
      <c r="K115" s="3" t="str">
        <f ca="1">IF('D. Annual Schedule Tables'!K136&gt;0,'D. Annual Schedule Tables'!K136,"")</f>
        <v/>
      </c>
      <c r="L115" s="3" t="str">
        <f ca="1">IF('D. Annual Schedule Tables'!L136&gt;0,'D. Annual Schedule Tables'!L136,"")</f>
        <v/>
      </c>
      <c r="M115" s="3" t="str">
        <f ca="1">IF('D. Annual Schedule Tables'!M136&gt;0,'D. Annual Schedule Tables'!M136,"")</f>
        <v/>
      </c>
      <c r="N115" s="3" t="str">
        <f ca="1">IF('D. Annual Schedule Tables'!N136&gt;0,'D. Annual Schedule Tables'!N136,"")</f>
        <v/>
      </c>
      <c r="O115" s="3" t="str">
        <f ca="1">IF('D. Annual Schedule Tables'!O136&gt;0,'D. Annual Schedule Tables'!O136,"")</f>
        <v/>
      </c>
      <c r="P115" s="128" t="str">
        <f t="shared" ca="1" si="11"/>
        <v/>
      </c>
    </row>
    <row r="116" spans="2:17" s="1" customFormat="1" ht="15" outlineLevel="1" thickBot="1" x14ac:dyDescent="0.35">
      <c r="B116" s="82">
        <v>0</v>
      </c>
      <c r="C116" s="11" t="s">
        <v>153</v>
      </c>
      <c r="D116" s="287"/>
      <c r="E116" s="16">
        <f ca="1">IF(SUM(E113:E115)&gt;0,SUM(E113:E115),"")</f>
        <v>310</v>
      </c>
      <c r="F116" s="16">
        <f t="shared" ref="F116:O116" ca="1" si="12">IF(SUM(F113:F115)&gt;0,SUM(F113:F115),"")</f>
        <v>318</v>
      </c>
      <c r="G116" s="16">
        <f t="shared" ca="1" si="12"/>
        <v>326</v>
      </c>
      <c r="H116" s="16">
        <f t="shared" ca="1" si="12"/>
        <v>333</v>
      </c>
      <c r="I116" s="16">
        <f t="shared" ca="1" si="12"/>
        <v>341</v>
      </c>
      <c r="J116" s="16">
        <f t="shared" ca="1" si="12"/>
        <v>349</v>
      </c>
      <c r="K116" s="16">
        <f t="shared" ca="1" si="12"/>
        <v>357</v>
      </c>
      <c r="L116" s="16">
        <f t="shared" ca="1" si="12"/>
        <v>365</v>
      </c>
      <c r="M116" s="16">
        <f t="shared" ca="1" si="12"/>
        <v>373</v>
      </c>
      <c r="N116" s="16">
        <f t="shared" ca="1" si="12"/>
        <v>380</v>
      </c>
      <c r="O116" s="86">
        <f t="shared" ca="1" si="12"/>
        <v>388</v>
      </c>
      <c r="P116" s="136">
        <f t="shared" ca="1" si="11"/>
        <v>388</v>
      </c>
    </row>
    <row r="117" spans="2:17" s="1" customFormat="1" ht="16.2" outlineLevel="1" thickBot="1" x14ac:dyDescent="0.35">
      <c r="B117" s="38"/>
      <c r="C117" s="142"/>
      <c r="D117" s="285"/>
      <c r="E117" s="252" t="s">
        <v>57</v>
      </c>
      <c r="F117"/>
      <c r="G117"/>
      <c r="H117"/>
      <c r="I117"/>
      <c r="J117"/>
      <c r="K117"/>
      <c r="L117"/>
      <c r="M117"/>
      <c r="N117"/>
      <c r="O117"/>
      <c r="P117" s="135"/>
    </row>
    <row r="118" spans="2:17" ht="15.6" outlineLevel="1" x14ac:dyDescent="0.3">
      <c r="B118" s="38"/>
      <c r="C118" s="7" t="s">
        <v>155</v>
      </c>
      <c r="D118" s="280" t="b">
        <f>IF(E118&gt;=0,TRUE,FALSE)</f>
        <v>1</v>
      </c>
      <c r="E118" s="156">
        <v>5</v>
      </c>
      <c r="F118" s="20"/>
      <c r="G118" s="20"/>
      <c r="H118" s="20"/>
      <c r="I118" s="20"/>
      <c r="J118" s="20"/>
      <c r="K118" s="20"/>
      <c r="L118" s="20"/>
      <c r="M118" s="20"/>
      <c r="N118" s="20"/>
      <c r="O118" s="20"/>
      <c r="P118" s="137">
        <f>E118</f>
        <v>5</v>
      </c>
    </row>
    <row r="119" spans="2:17" ht="15.6" outlineLevel="1" x14ac:dyDescent="0.3">
      <c r="B119" s="38"/>
      <c r="C119" s="7" t="s">
        <v>304</v>
      </c>
      <c r="D119" s="280" t="b">
        <f>IF(E119&gt;=0,TRUE,FALSE)</f>
        <v>1</v>
      </c>
      <c r="E119" s="157">
        <v>2000</v>
      </c>
      <c r="F119" s="20"/>
      <c r="G119" s="20"/>
      <c r="H119" s="20"/>
      <c r="I119" s="20"/>
      <c r="J119" s="20"/>
      <c r="K119" s="20"/>
      <c r="L119" s="20"/>
      <c r="M119" s="20"/>
      <c r="N119" s="20"/>
      <c r="O119" s="20"/>
      <c r="P119" s="152">
        <f>E119</f>
        <v>2000</v>
      </c>
    </row>
    <row r="120" spans="2:17" ht="16.2" outlineLevel="1" thickBot="1" x14ac:dyDescent="0.35">
      <c r="B120" s="38"/>
      <c r="C120" s="7" t="s">
        <v>303</v>
      </c>
      <c r="D120" s="280" t="b">
        <f>IF(E120&gt;=0,TRUE,FALSE)</f>
        <v>1</v>
      </c>
      <c r="E120" s="157">
        <v>150</v>
      </c>
      <c r="F120" s="20"/>
      <c r="G120" s="20"/>
      <c r="H120" s="20"/>
      <c r="I120" s="20"/>
      <c r="J120" s="20"/>
      <c r="K120" s="20"/>
      <c r="L120" s="20"/>
      <c r="M120" s="20"/>
      <c r="N120" s="20"/>
      <c r="O120" s="20"/>
      <c r="P120" s="138">
        <f>E120</f>
        <v>150</v>
      </c>
    </row>
    <row r="121" spans="2:17" ht="15.6" outlineLevel="1" x14ac:dyDescent="0.3">
      <c r="B121" s="38"/>
      <c r="C121" s="143"/>
      <c r="E121" s="242"/>
      <c r="F121" s="243"/>
      <c r="G121" s="243"/>
      <c r="H121" s="243"/>
      <c r="I121" s="243"/>
      <c r="J121" s="242" t="s">
        <v>59</v>
      </c>
      <c r="K121" s="243"/>
      <c r="L121" s="243"/>
      <c r="M121" s="243"/>
      <c r="N121" s="243"/>
      <c r="O121" s="244"/>
      <c r="P121" s="85"/>
    </row>
    <row r="122" spans="2:17" ht="16.2" outlineLevel="1" thickBot="1" x14ac:dyDescent="0.35">
      <c r="B122" s="38"/>
      <c r="C122" s="144"/>
      <c r="E122" s="51">
        <v>0</v>
      </c>
      <c r="F122" s="51">
        <v>1</v>
      </c>
      <c r="G122" s="51">
        <v>2</v>
      </c>
      <c r="H122" s="51">
        <v>3</v>
      </c>
      <c r="I122" s="51">
        <v>4</v>
      </c>
      <c r="J122" s="51">
        <v>5</v>
      </c>
      <c r="K122" s="51">
        <v>6</v>
      </c>
      <c r="L122" s="51">
        <v>7</v>
      </c>
      <c r="M122" s="51">
        <v>8</v>
      </c>
      <c r="N122" s="51">
        <v>9</v>
      </c>
      <c r="O122" s="51">
        <v>10</v>
      </c>
      <c r="P122" s="85"/>
    </row>
    <row r="123" spans="2:17" ht="15.6" outlineLevel="1" x14ac:dyDescent="0.3">
      <c r="B123" s="38"/>
      <c r="C123" s="3" t="s">
        <v>452</v>
      </c>
      <c r="D123" s="280" t="b">
        <f ca="1">IF(AND(COUNTIF(E123:O123,"&lt;0")=0,COUNTIF(E123:O123,"&gt;1")=0,COUNT(E123:O123)&gt;=COUNT(E113:O113)),TRUE,FALSE)</f>
        <v>1</v>
      </c>
      <c r="E123" s="8">
        <v>1</v>
      </c>
      <c r="F123" s="8"/>
      <c r="G123" s="8"/>
      <c r="H123" s="8"/>
      <c r="I123" s="8"/>
      <c r="J123" s="8"/>
      <c r="K123" s="8"/>
      <c r="L123" s="8"/>
      <c r="M123" s="8"/>
      <c r="N123" s="8"/>
      <c r="O123" s="98"/>
      <c r="P123" s="146">
        <f t="shared" ref="P123:P126" si="13">IF(ISNA(INDEX(E123:O123,MATCH(9.99999999999999E+307,E123:O123))),"",INDEX(E123:O123,MATCH(9.99999999999999E+307,E123:O123)))</f>
        <v>1</v>
      </c>
      <c r="Q123" s="754"/>
    </row>
    <row r="124" spans="2:17" ht="15.6" outlineLevel="1" x14ac:dyDescent="0.3">
      <c r="B124" s="38"/>
      <c r="C124" s="3" t="s">
        <v>453</v>
      </c>
      <c r="D124" s="280" t="b">
        <f ca="1">IF(AND(COUNTIF(E124:O124,"&lt;0")=0,COUNTIF(E124:O124,"&gt;1")=0,COUNT(E124:O124)&gt;=COUNT(E114:O114)),TRUE,FALSE)</f>
        <v>1</v>
      </c>
      <c r="E124" s="8">
        <v>1</v>
      </c>
      <c r="F124" s="8">
        <v>1</v>
      </c>
      <c r="G124" s="8">
        <v>1</v>
      </c>
      <c r="H124" s="8">
        <v>1</v>
      </c>
      <c r="I124" s="8">
        <v>1</v>
      </c>
      <c r="J124" s="8">
        <v>1</v>
      </c>
      <c r="K124" s="8">
        <v>1</v>
      </c>
      <c r="L124" s="8">
        <v>1</v>
      </c>
      <c r="M124" s="8">
        <v>1</v>
      </c>
      <c r="N124" s="8">
        <v>1</v>
      </c>
      <c r="O124" s="8">
        <v>1</v>
      </c>
      <c r="P124" s="99">
        <f t="shared" si="13"/>
        <v>1</v>
      </c>
      <c r="Q124" s="754"/>
    </row>
    <row r="125" spans="2:17" ht="15.6" outlineLevel="1" x14ac:dyDescent="0.3">
      <c r="B125" s="38"/>
      <c r="C125" s="3" t="s">
        <v>454</v>
      </c>
      <c r="D125" s="280" t="b">
        <f ca="1">IF(AND(COUNTIF(E125:O125,"&lt;0")=0,COUNTIF(E125:O125,"&gt;1")=0,COUNT(E125:O125)&gt;=COUNT(E115:O115)),TRUE,FALSE)</f>
        <v>1</v>
      </c>
      <c r="E125" s="8">
        <v>1</v>
      </c>
      <c r="F125" s="8"/>
      <c r="G125" s="8"/>
      <c r="H125" s="8"/>
      <c r="I125" s="8"/>
      <c r="J125" s="8"/>
      <c r="K125" s="8"/>
      <c r="L125" s="8"/>
      <c r="M125" s="8"/>
      <c r="N125" s="8"/>
      <c r="O125" s="98"/>
      <c r="P125" s="99">
        <f t="shared" si="13"/>
        <v>1</v>
      </c>
      <c r="Q125" s="754"/>
    </row>
    <row r="126" spans="2:17" s="1" customFormat="1" ht="15.6" outlineLevel="1" x14ac:dyDescent="0.3">
      <c r="B126" s="38"/>
      <c r="C126" s="11" t="s">
        <v>154</v>
      </c>
      <c r="D126" s="280"/>
      <c r="E126" s="110">
        <f t="shared" ref="E126:O126" ca="1" si="14">IFERROR(SUMPRODUCT(E113:E115,E123:E125)/E116,"")</f>
        <v>1</v>
      </c>
      <c r="F126" s="110">
        <f t="shared" ca="1" si="14"/>
        <v>1</v>
      </c>
      <c r="G126" s="110">
        <f t="shared" ca="1" si="14"/>
        <v>1</v>
      </c>
      <c r="H126" s="110">
        <f t="shared" ca="1" si="14"/>
        <v>1</v>
      </c>
      <c r="I126" s="110">
        <f t="shared" ca="1" si="14"/>
        <v>1</v>
      </c>
      <c r="J126" s="110">
        <f t="shared" ca="1" si="14"/>
        <v>1</v>
      </c>
      <c r="K126" s="110">
        <f t="shared" ca="1" si="14"/>
        <v>1</v>
      </c>
      <c r="L126" s="110">
        <f t="shared" ca="1" si="14"/>
        <v>1</v>
      </c>
      <c r="M126" s="110">
        <f t="shared" ca="1" si="14"/>
        <v>1</v>
      </c>
      <c r="N126" s="110">
        <f t="shared" ca="1" si="14"/>
        <v>1</v>
      </c>
      <c r="O126" s="145">
        <f t="shared" ca="1" si="14"/>
        <v>1</v>
      </c>
      <c r="P126" s="111">
        <f t="shared" ca="1" si="13"/>
        <v>1</v>
      </c>
    </row>
    <row r="127" spans="2:17" s="1" customFormat="1" ht="15.6" outlineLevel="1" x14ac:dyDescent="0.3">
      <c r="B127" s="38"/>
      <c r="C127" s="11" t="s">
        <v>455</v>
      </c>
      <c r="D127" s="288"/>
      <c r="E127" s="16">
        <f ca="1">IF('D. Annual Schedule Tables'!E156&gt;0,'D. Annual Schedule Tables'!E156,"")</f>
        <v>62</v>
      </c>
      <c r="F127" s="16">
        <f ca="1">IF('D. Annual Schedule Tables'!F156&gt;0,'D. Annual Schedule Tables'!F156,"")</f>
        <v>64</v>
      </c>
      <c r="G127" s="16">
        <f ca="1">IF('D. Annual Schedule Tables'!G156&gt;0,'D. Annual Schedule Tables'!G156,"")</f>
        <v>66</v>
      </c>
      <c r="H127" s="16">
        <f ca="1">IF('D. Annual Schedule Tables'!H156&gt;0,'D. Annual Schedule Tables'!H156,"")</f>
        <v>67</v>
      </c>
      <c r="I127" s="16">
        <f ca="1">IF('D. Annual Schedule Tables'!I156&gt;0,'D. Annual Schedule Tables'!I156,"")</f>
        <v>69</v>
      </c>
      <c r="J127" s="16">
        <f ca="1">IF('D. Annual Schedule Tables'!J156&gt;0,'D. Annual Schedule Tables'!J156,"")</f>
        <v>70</v>
      </c>
      <c r="K127" s="16">
        <f ca="1">IF('D. Annual Schedule Tables'!K156&gt;0,'D. Annual Schedule Tables'!K156,"")</f>
        <v>72</v>
      </c>
      <c r="L127" s="16">
        <f ca="1">IF('D. Annual Schedule Tables'!L156&gt;0,'D. Annual Schedule Tables'!L156,"")</f>
        <v>73</v>
      </c>
      <c r="M127" s="16">
        <f ca="1">IF('D. Annual Schedule Tables'!M156&gt;0,'D. Annual Schedule Tables'!M156,"")</f>
        <v>75</v>
      </c>
      <c r="N127" s="16">
        <f ca="1">IF('D. Annual Schedule Tables'!N156&gt;0,'D. Annual Schedule Tables'!N156,"")</f>
        <v>76</v>
      </c>
      <c r="O127" s="16">
        <f ca="1">IF('D. Annual Schedule Tables'!O156&gt;0,'D. Annual Schedule Tables'!O156,"")</f>
        <v>78</v>
      </c>
      <c r="P127" s="147">
        <f ca="1">SUM(E127:O127)</f>
        <v>772</v>
      </c>
    </row>
    <row r="128" spans="2:17" ht="16.2" outlineLevel="1" thickBot="1" x14ac:dyDescent="0.35">
      <c r="B128" s="37"/>
      <c r="C128" s="11" t="s">
        <v>177</v>
      </c>
      <c r="D128" s="285"/>
      <c r="E128" s="337">
        <f ca="1">IF('E. State-Level Infrastr&amp;Support'!E17+'E. State-Level Infrastr&amp;Support'!E21&gt;0,'E. State-Level Infrastr&amp;Support'!E17+'E. State-Level Infrastr&amp;Support'!E21,"")</f>
        <v>133300</v>
      </c>
      <c r="F128" s="337">
        <f ca="1">IF('E. State-Level Infrastr&amp;Support'!F17+'E. State-Level Infrastr&amp;Support'!F21&gt;0,'E. State-Level Infrastr&amp;Support'!F17+'E. State-Level Infrastr&amp;Support'!F21,"")</f>
        <v>139801.60000000001</v>
      </c>
      <c r="G128" s="337">
        <f ca="1">IF('E. State-Level Infrastr&amp;Support'!G17+'E. State-Level Infrastr&amp;Support'!G21&gt;0,'E. State-Level Infrastr&amp;Support'!G17+'E. State-Level Infrastr&amp;Support'!G21,"")</f>
        <v>146477.12640000001</v>
      </c>
      <c r="H128" s="337">
        <f ca="1">IF('E. State-Level Infrastr&amp;Support'!H17+'E. State-Level Infrastr&amp;Support'!H21&gt;0,'E. State-Level Infrastr&amp;Support'!H17+'E. State-Level Infrastr&amp;Support'!H21,"")</f>
        <v>151075.6204288</v>
      </c>
      <c r="I128" s="337">
        <f ca="1">IF('E. State-Level Infrastr&amp;Support'!I17+'E. State-Level Infrastr&amp;Support'!I21&gt;0,'E. State-Level Infrastr&amp;Support'!I17+'E. State-Level Infrastr&amp;Support'!I21,"")</f>
        <v>158074.7058886656</v>
      </c>
      <c r="J128" s="337">
        <f ca="1">IF('E. State-Level Infrastr&amp;Support'!J17+'E. State-Level Infrastr&amp;Support'!J21&gt;0,'E. State-Level Infrastr&amp;Support'!J17+'E. State-Level Infrastr&amp;Support'!J21,"")</f>
        <v>162931.4939536507</v>
      </c>
      <c r="K128" s="337">
        <f ca="1">IF('E. State-Level Infrastr&amp;Support'!K17+'E. State-Level Infrastr&amp;Support'!K21&gt;0,'E. State-Level Infrastr&amp;Support'!K17+'E. State-Level Infrastr&amp;Support'!K21,"")</f>
        <v>170268.06636710651</v>
      </c>
      <c r="L128" s="337">
        <f ca="1">IF('E. State-Level Infrastr&amp;Support'!L17+'E. State-Level Infrastr&amp;Support'!L21&gt;0,'E. State-Level Infrastr&amp;Support'!L17+'E. State-Level Infrastr&amp;Support'!L21,"")</f>
        <v>175395.02703216049</v>
      </c>
      <c r="M128" s="337">
        <f ca="1">IF('E. State-Level Infrastr&amp;Support'!M17+'E. State-Level Infrastr&amp;Support'!M21&gt;0,'E. State-Level Infrastr&amp;Support'!M17+'E. State-Level Infrastr&amp;Support'!M21,"")</f>
        <v>183083.57616233741</v>
      </c>
      <c r="N128" s="337">
        <f ca="1">IF('E. State-Level Infrastr&amp;Support'!N17+'E. State-Level Infrastr&amp;Support'!N21&gt;0,'E. State-Level Infrastr&amp;Support'!N17+'E. State-Level Infrastr&amp;Support'!N21,"")</f>
        <v>188493.0855593473</v>
      </c>
      <c r="O128" s="337">
        <f ca="1">IF('E. State-Level Infrastr&amp;Support'!O17+'E. State-Level Infrastr&amp;Support'!O21&gt;0,'E. State-Level Infrastr&amp;Support'!O17+'E. State-Level Infrastr&amp;Support'!O21,"")</f>
        <v>196548.68479483097</v>
      </c>
      <c r="P128" s="148">
        <f ca="1">SUM(E128:O128)</f>
        <v>1805448.986586899</v>
      </c>
    </row>
    <row r="129" spans="2:16" x14ac:dyDescent="0.3">
      <c r="P129"/>
    </row>
    <row r="130" spans="2:16" ht="15.6" x14ac:dyDescent="0.3">
      <c r="B130" s="253" t="s">
        <v>156</v>
      </c>
      <c r="C130" s="254"/>
      <c r="P130"/>
    </row>
    <row r="131" spans="2:16" ht="15" outlineLevel="1" thickBot="1" x14ac:dyDescent="0.35">
      <c r="B131" s="216"/>
      <c r="C131" s="25"/>
      <c r="E131" s="268"/>
      <c r="F131" s="242" t="s">
        <v>58</v>
      </c>
      <c r="G131" s="269"/>
      <c r="H131" s="41"/>
      <c r="I131" s="41"/>
      <c r="J131" s="41"/>
      <c r="K131" s="41"/>
      <c r="L131" s="41"/>
      <c r="M131" s="41"/>
      <c r="N131" s="41"/>
      <c r="O131" s="41"/>
    </row>
    <row r="132" spans="2:16" ht="28.8" outlineLevel="1" x14ac:dyDescent="0.3">
      <c r="B132" s="178"/>
      <c r="C132" s="185"/>
      <c r="D132" s="285"/>
      <c r="E132" s="35" t="s">
        <v>18</v>
      </c>
      <c r="F132" s="35" t="s">
        <v>20</v>
      </c>
      <c r="G132" s="35" t="s">
        <v>19</v>
      </c>
      <c r="H132" s="97"/>
      <c r="I132" s="97"/>
      <c r="J132" s="97"/>
      <c r="K132" s="97"/>
      <c r="L132" s="97"/>
      <c r="M132" s="97"/>
      <c r="N132" s="97"/>
      <c r="O132" s="97"/>
      <c r="P132" s="250" t="s">
        <v>2</v>
      </c>
    </row>
    <row r="133" spans="2:16" outlineLevel="1" x14ac:dyDescent="0.3">
      <c r="B133" s="26"/>
      <c r="C133" s="7" t="s">
        <v>24</v>
      </c>
      <c r="E133" s="167">
        <f ca="1">'D. Annual Schedule Tables'!E99</f>
        <v>0</v>
      </c>
      <c r="F133" s="167">
        <f ca="1">'D. Annual Schedule Tables'!E103</f>
        <v>620</v>
      </c>
      <c r="G133" s="167">
        <f ca="1">'D. Annual Schedule Tables'!E107</f>
        <v>0</v>
      </c>
      <c r="H133" s="97"/>
      <c r="I133" s="97"/>
      <c r="J133" s="97"/>
      <c r="K133" s="97"/>
      <c r="L133" s="97"/>
      <c r="M133" s="97"/>
      <c r="N133" s="97"/>
      <c r="O133" s="97"/>
      <c r="P133" s="130">
        <f ca="1">SUM(E133:O133)</f>
        <v>620</v>
      </c>
    </row>
    <row r="134" spans="2:16" outlineLevel="1" x14ac:dyDescent="0.3">
      <c r="B134" s="26"/>
      <c r="C134" s="7" t="s">
        <v>42</v>
      </c>
      <c r="D134" s="280" t="b">
        <f>IF(AND(E134&gt;=0,E134&lt;=1,F134&gt;=0,F134&lt;=1,G134&gt;=0,G134&lt;=1),TRUE,FALSE)</f>
        <v>1</v>
      </c>
      <c r="E134" s="662">
        <v>0.72599999999999998</v>
      </c>
      <c r="F134" s="662">
        <v>1</v>
      </c>
      <c r="G134" s="662">
        <v>0.72599999999999998</v>
      </c>
      <c r="H134" s="97"/>
      <c r="I134" s="97"/>
      <c r="J134" s="97"/>
      <c r="K134" s="97"/>
      <c r="L134" s="97"/>
      <c r="M134" s="97"/>
      <c r="N134" s="97"/>
      <c r="O134" s="97"/>
      <c r="P134" s="99">
        <f ca="1">IFERROR(SUMPRODUCT(E133:O133,E134:O134)/P133,"")</f>
        <v>1</v>
      </c>
    </row>
    <row r="135" spans="2:16" outlineLevel="1" x14ac:dyDescent="0.3">
      <c r="B135" s="26"/>
      <c r="C135" s="7" t="s">
        <v>886</v>
      </c>
      <c r="D135" s="280" t="b">
        <f>IF(AND(E135&gt;=0,E135&lt;=1,F135&gt;=0,F135&lt;=1,G135&gt;=0,G135&lt;=1),TRUE,FALSE)</f>
        <v>1</v>
      </c>
      <c r="E135" s="662">
        <v>0.23699999999999999</v>
      </c>
      <c r="F135" s="662">
        <v>0</v>
      </c>
      <c r="G135" s="662">
        <v>0.23699999999999999</v>
      </c>
      <c r="H135" s="97"/>
      <c r="I135" s="97"/>
      <c r="J135" s="97"/>
      <c r="K135" s="97"/>
      <c r="L135" s="97"/>
      <c r="M135" s="97"/>
      <c r="N135" s="97"/>
      <c r="O135" s="97"/>
      <c r="P135" s="99">
        <f ca="1">IFERROR(SUMPRODUCT(E133:O133,E135:O135)/P133,"")</f>
        <v>0</v>
      </c>
    </row>
    <row r="136" spans="2:16" outlineLevel="1" x14ac:dyDescent="0.3">
      <c r="B136" s="26"/>
      <c r="C136" s="7" t="s">
        <v>887</v>
      </c>
      <c r="D136" s="280" t="b">
        <f>IF(AND(E136&gt;=0,E136&lt;=1,F136&gt;=0,F136&lt;=1,G136&gt;=0,G136&lt;=1),TRUE,FALSE)</f>
        <v>1</v>
      </c>
      <c r="E136" s="663">
        <f>1-E134-E135</f>
        <v>3.7000000000000033E-2</v>
      </c>
      <c r="F136" s="663">
        <f>1-F134-F135</f>
        <v>0</v>
      </c>
      <c r="G136" s="663">
        <f>1-G134-G135</f>
        <v>3.7000000000000033E-2</v>
      </c>
      <c r="H136" s="97"/>
      <c r="I136" s="97"/>
      <c r="J136" s="97"/>
      <c r="K136" s="97"/>
      <c r="L136" s="97"/>
      <c r="M136" s="97"/>
      <c r="N136" s="97"/>
      <c r="O136" s="97"/>
      <c r="P136" s="99">
        <f ca="1">IFERROR(SUMPRODUCT(E133:O133,E136:O136)/P133,"")</f>
        <v>0</v>
      </c>
    </row>
    <row r="137" spans="2:16" outlineLevel="1" x14ac:dyDescent="0.3">
      <c r="B137" s="26"/>
      <c r="C137" s="22" t="s">
        <v>888</v>
      </c>
      <c r="D137" s="285"/>
      <c r="E137" s="23">
        <f ca="1">ROUND(E133*E134,0)</f>
        <v>0</v>
      </c>
      <c r="F137" s="23">
        <f ca="1">ROUND(F133*F134,0)</f>
        <v>620</v>
      </c>
      <c r="G137" s="23">
        <f ca="1">ROUND(G133*G134,0)</f>
        <v>0</v>
      </c>
      <c r="H137" s="97"/>
      <c r="I137" s="97"/>
      <c r="J137" s="97"/>
      <c r="K137" s="97"/>
      <c r="L137" s="97"/>
      <c r="M137" s="97"/>
      <c r="N137" s="97"/>
      <c r="O137" s="97"/>
      <c r="P137" s="130">
        <f ca="1">SUM(E137:O137)</f>
        <v>620</v>
      </c>
    </row>
    <row r="138" spans="2:16" outlineLevel="1" x14ac:dyDescent="0.3">
      <c r="B138" s="26"/>
      <c r="C138" s="22" t="s">
        <v>885</v>
      </c>
      <c r="D138" s="285"/>
      <c r="E138" s="23">
        <f ca="1">ROUND(E133*E135,0)</f>
        <v>0</v>
      </c>
      <c r="F138" s="23">
        <f ca="1">ROUND(F133*F135,0)</f>
        <v>0</v>
      </c>
      <c r="G138" s="23">
        <f ca="1">ROUND(G133*G135,0)</f>
        <v>0</v>
      </c>
      <c r="H138" s="97"/>
      <c r="I138" s="97"/>
      <c r="J138" s="97"/>
      <c r="K138" s="97"/>
      <c r="L138" s="97"/>
      <c r="M138" s="97"/>
      <c r="N138" s="97"/>
      <c r="O138" s="97"/>
      <c r="P138" s="130">
        <f ca="1">SUM(E138:O138)</f>
        <v>0</v>
      </c>
    </row>
    <row r="139" spans="2:16" outlineLevel="1" x14ac:dyDescent="0.3">
      <c r="B139" s="26"/>
      <c r="C139" s="22" t="s">
        <v>891</v>
      </c>
      <c r="D139" s="285"/>
      <c r="E139" s="23">
        <f ca="1">E133-E137-E138</f>
        <v>0</v>
      </c>
      <c r="F139" s="23">
        <f ca="1">F133-F137-F138</f>
        <v>0</v>
      </c>
      <c r="G139" s="23">
        <f ca="1">G133-G137-G138</f>
        <v>0</v>
      </c>
      <c r="H139" s="97"/>
      <c r="I139" s="97"/>
      <c r="J139" s="97"/>
      <c r="K139" s="97"/>
      <c r="L139" s="97"/>
      <c r="M139" s="97"/>
      <c r="N139" s="97"/>
      <c r="O139" s="97"/>
      <c r="P139" s="130">
        <f ca="1">SUM(E139:O139)</f>
        <v>0</v>
      </c>
    </row>
    <row r="140" spans="2:16" outlineLevel="1" x14ac:dyDescent="0.3">
      <c r="B140" s="26"/>
      <c r="C140" s="7" t="s">
        <v>45</v>
      </c>
      <c r="D140" s="280" t="b">
        <f>IF(AND(E140&gt;=0,E140&lt;=1,F140&gt;=0,F140&lt;=1,G140&gt;=0,G140&lt;=1),TRUE,FALSE)</f>
        <v>1</v>
      </c>
      <c r="E140" s="662">
        <v>0.27300000000000002</v>
      </c>
      <c r="F140" s="662">
        <v>0</v>
      </c>
      <c r="G140" s="662">
        <v>0.27300000000000002</v>
      </c>
      <c r="H140" s="97"/>
      <c r="I140" s="97"/>
      <c r="J140" s="97"/>
      <c r="K140" s="97"/>
      <c r="L140" s="97"/>
      <c r="M140" s="97"/>
      <c r="N140" s="97"/>
      <c r="O140" s="97"/>
      <c r="P140" s="99">
        <f ca="1">IFERROR(SUMPRODUCT(E137:O137,E140:O140)/P137,"")</f>
        <v>0</v>
      </c>
    </row>
    <row r="141" spans="2:16" outlineLevel="1" x14ac:dyDescent="0.3">
      <c r="B141" s="26"/>
      <c r="C141" s="22" t="s">
        <v>33</v>
      </c>
      <c r="D141" s="285"/>
      <c r="E141" s="23">
        <f ca="1">ROUND(E133*(1-E134)*E140,0)</f>
        <v>0</v>
      </c>
      <c r="F141" s="23">
        <f ca="1">ROUND(F133*(1-F134)*F140,0)</f>
        <v>0</v>
      </c>
      <c r="G141" s="23">
        <f ca="1">ROUND(G133*(1-G134)*G140,0)</f>
        <v>0</v>
      </c>
      <c r="H141" s="97"/>
      <c r="I141" s="97"/>
      <c r="J141" s="97"/>
      <c r="K141" s="97"/>
      <c r="L141" s="97"/>
      <c r="M141" s="97"/>
      <c r="N141" s="97"/>
      <c r="O141" s="97"/>
      <c r="P141" s="130">
        <f ca="1">SUM(E141:O141)</f>
        <v>0</v>
      </c>
    </row>
    <row r="142" spans="2:16" outlineLevel="1" x14ac:dyDescent="0.3">
      <c r="B142" s="26"/>
      <c r="C142" s="7" t="s">
        <v>65</v>
      </c>
      <c r="D142" s="280" t="b">
        <f>IF(AND(E142&gt;=0,E142&lt;=1,F142&gt;=0,F142&lt;=1,G142&gt;=0,G142&lt;=1),TRUE,FALSE)</f>
        <v>1</v>
      </c>
      <c r="E142" s="677">
        <v>0.76</v>
      </c>
      <c r="F142" s="677">
        <v>0</v>
      </c>
      <c r="G142" s="677">
        <v>0.76</v>
      </c>
      <c r="H142" s="97"/>
      <c r="I142" s="97"/>
      <c r="J142" s="97"/>
      <c r="K142" s="97"/>
      <c r="L142" s="97"/>
      <c r="M142" s="97"/>
      <c r="N142" s="97"/>
      <c r="O142" s="97"/>
      <c r="P142" s="99" t="str">
        <f ca="1">IFERROR(SUMPRODUCT(E141:O141,E142:O142)/P141,"")</f>
        <v/>
      </c>
    </row>
    <row r="143" spans="2:16" outlineLevel="1" x14ac:dyDescent="0.3">
      <c r="B143" s="26"/>
      <c r="C143" s="11" t="s">
        <v>35</v>
      </c>
      <c r="D143" s="285" t="b">
        <f ca="1">IF(AND(E143&lt;=E138,F143&lt;=F138,G143&lt;=G138),TRUE,FALSE)</f>
        <v>1</v>
      </c>
      <c r="E143" s="23">
        <f ca="1">ROUND(E142*E141,0)</f>
        <v>0</v>
      </c>
      <c r="F143" s="23">
        <f ca="1">ROUND(F142*F141,0)</f>
        <v>0</v>
      </c>
      <c r="G143" s="23">
        <f ca="1">ROUND(G142*G141,0)</f>
        <v>0</v>
      </c>
      <c r="H143" s="97"/>
      <c r="I143" s="97"/>
      <c r="J143" s="97"/>
      <c r="K143" s="97"/>
      <c r="L143" s="97"/>
      <c r="M143" s="97"/>
      <c r="N143" s="97"/>
      <c r="O143" s="97"/>
      <c r="P143" s="130">
        <f ca="1">SUM(E143:O143)</f>
        <v>0</v>
      </c>
    </row>
    <row r="144" spans="2:16" outlineLevel="1" x14ac:dyDescent="0.3">
      <c r="B144" s="26"/>
      <c r="C144" s="7" t="s">
        <v>456</v>
      </c>
      <c r="D144" s="285"/>
      <c r="E144" s="24">
        <f>1-E142</f>
        <v>0.24</v>
      </c>
      <c r="F144" s="24">
        <f>1-F142</f>
        <v>1</v>
      </c>
      <c r="G144" s="24">
        <f>1-G142</f>
        <v>0.24</v>
      </c>
      <c r="H144" s="97"/>
      <c r="I144" s="97"/>
      <c r="J144" s="97"/>
      <c r="K144" s="97"/>
      <c r="L144" s="97"/>
      <c r="M144" s="97"/>
      <c r="N144" s="97"/>
      <c r="O144" s="97"/>
      <c r="P144" s="99" t="str">
        <f ca="1">IFERROR(SUMPRODUCT(E141:O141,E144:O144)/P141,"")</f>
        <v/>
      </c>
    </row>
    <row r="145" spans="2:16" ht="15" outlineLevel="1" thickBot="1" x14ac:dyDescent="0.35">
      <c r="B145" s="26"/>
      <c r="C145" s="11" t="s">
        <v>892</v>
      </c>
      <c r="D145" s="285" t="b">
        <f ca="1">IF(AND(E145&lt;=E139,F145&lt;=F139,G145&lt;=G139),TRUE,FALSE)</f>
        <v>1</v>
      </c>
      <c r="E145" s="23">
        <f ca="1">ROUND(E144*E141,0)</f>
        <v>0</v>
      </c>
      <c r="F145" s="23">
        <f ca="1">ROUND(F144*F141,0)</f>
        <v>0</v>
      </c>
      <c r="G145" s="23">
        <f ca="1">ROUND(G144*G141,0)</f>
        <v>0</v>
      </c>
      <c r="H145" s="97"/>
      <c r="I145" s="97"/>
      <c r="J145" s="97"/>
      <c r="K145" s="97"/>
      <c r="L145" s="97"/>
      <c r="M145" s="97"/>
      <c r="N145" s="97"/>
      <c r="O145" s="97"/>
      <c r="P145" s="131">
        <f ca="1">SUM(E145:O145)</f>
        <v>0</v>
      </c>
    </row>
    <row r="146" spans="2:16" ht="15" outlineLevel="1" thickBot="1" x14ac:dyDescent="0.35">
      <c r="B146" s="26"/>
      <c r="C146" s="96"/>
      <c r="E146" s="273" t="s">
        <v>57</v>
      </c>
      <c r="F146" s="20"/>
      <c r="G146" s="20"/>
      <c r="H146" s="20"/>
      <c r="I146" s="20"/>
      <c r="J146" s="20"/>
      <c r="K146" s="20"/>
      <c r="L146" s="20"/>
      <c r="M146" s="20"/>
      <c r="N146" s="20"/>
      <c r="O146" s="20"/>
      <c r="P146" s="85"/>
    </row>
    <row r="147" spans="2:16" outlineLevel="1" x14ac:dyDescent="0.3">
      <c r="B147" s="26"/>
      <c r="C147" s="7" t="s">
        <v>610</v>
      </c>
      <c r="D147" s="280" t="b">
        <f t="shared" ref="D147:D152" si="15">IF(AND(E147&gt;=0,E147&lt;=1),TRUE,FALSE)</f>
        <v>1</v>
      </c>
      <c r="E147" s="94">
        <v>0.15</v>
      </c>
      <c r="F147" s="20"/>
      <c r="G147" s="20"/>
      <c r="H147" s="20"/>
      <c r="I147" s="20"/>
      <c r="J147" s="20"/>
      <c r="K147" s="20"/>
      <c r="L147" s="20"/>
      <c r="M147" s="20"/>
      <c r="N147" s="20"/>
      <c r="O147" s="20"/>
      <c r="P147" s="100">
        <f t="shared" ref="P147:P158" si="16">E147</f>
        <v>0.15</v>
      </c>
    </row>
    <row r="148" spans="2:16" outlineLevel="1" x14ac:dyDescent="0.3">
      <c r="B148" s="26"/>
      <c r="C148" s="13" t="s">
        <v>942</v>
      </c>
      <c r="D148" s="280" t="b">
        <f t="shared" si="15"/>
        <v>1</v>
      </c>
      <c r="E148" s="94">
        <v>0</v>
      </c>
      <c r="F148" s="20"/>
      <c r="G148" s="20"/>
      <c r="H148" s="20"/>
      <c r="I148" s="20"/>
      <c r="J148" s="20"/>
      <c r="K148" s="20"/>
      <c r="L148" s="20"/>
      <c r="M148" s="20"/>
      <c r="N148" s="20"/>
      <c r="O148" s="20"/>
      <c r="P148" s="103">
        <f>E148</f>
        <v>0</v>
      </c>
    </row>
    <row r="149" spans="2:16" outlineLevel="1" x14ac:dyDescent="0.3">
      <c r="B149" s="26"/>
      <c r="C149" s="7" t="s">
        <v>36</v>
      </c>
      <c r="D149" s="280" t="b">
        <f t="shared" si="15"/>
        <v>1</v>
      </c>
      <c r="E149" s="685">
        <v>1</v>
      </c>
      <c r="F149" s="20"/>
      <c r="G149" s="20"/>
      <c r="H149" s="20"/>
      <c r="I149" s="20"/>
      <c r="J149" s="20"/>
      <c r="K149" s="20"/>
      <c r="L149" s="20"/>
      <c r="M149" s="20"/>
      <c r="N149" s="20"/>
      <c r="O149" s="20"/>
      <c r="P149" s="101">
        <f t="shared" si="16"/>
        <v>1</v>
      </c>
    </row>
    <row r="150" spans="2:16" outlineLevel="1" x14ac:dyDescent="0.3">
      <c r="B150" s="26"/>
      <c r="C150" s="7" t="s">
        <v>889</v>
      </c>
      <c r="D150" s="280" t="b">
        <f t="shared" si="15"/>
        <v>1</v>
      </c>
      <c r="E150" s="685">
        <v>0</v>
      </c>
      <c r="F150" s="20"/>
      <c r="G150" s="20"/>
      <c r="H150" s="20"/>
      <c r="I150" s="20"/>
      <c r="J150" s="20"/>
      <c r="K150" s="20"/>
      <c r="L150" s="20"/>
      <c r="M150" s="20"/>
      <c r="N150" s="20"/>
      <c r="O150" s="20"/>
      <c r="P150" s="101">
        <f t="shared" si="16"/>
        <v>0</v>
      </c>
    </row>
    <row r="151" spans="2:16" outlineLevel="1" x14ac:dyDescent="0.3">
      <c r="B151" s="26"/>
      <c r="C151" s="7" t="s">
        <v>890</v>
      </c>
      <c r="D151" s="280" t="b">
        <f t="shared" si="15"/>
        <v>1</v>
      </c>
      <c r="E151" s="663">
        <f>1-E149-E150</f>
        <v>0</v>
      </c>
      <c r="F151" s="20"/>
      <c r="G151" s="20"/>
      <c r="H151" s="20"/>
      <c r="I151" s="20"/>
      <c r="J151" s="20"/>
      <c r="K151" s="20"/>
      <c r="L151" s="20"/>
      <c r="M151" s="20"/>
      <c r="N151" s="20"/>
      <c r="O151" s="20"/>
      <c r="P151" s="101">
        <f t="shared" si="16"/>
        <v>0</v>
      </c>
    </row>
    <row r="152" spans="2:16" outlineLevel="1" x14ac:dyDescent="0.3">
      <c r="B152" s="26"/>
      <c r="C152" s="7" t="s">
        <v>46</v>
      </c>
      <c r="D152" s="280" t="b">
        <f t="shared" si="15"/>
        <v>1</v>
      </c>
      <c r="E152" s="685">
        <v>0</v>
      </c>
      <c r="F152" s="20"/>
      <c r="G152" s="20"/>
      <c r="H152" s="750"/>
      <c r="I152" s="20"/>
      <c r="J152" s="20"/>
      <c r="K152" s="20"/>
      <c r="L152" s="20"/>
      <c r="M152" s="20"/>
      <c r="N152" s="20"/>
      <c r="O152" s="20"/>
      <c r="P152" s="101">
        <f t="shared" si="16"/>
        <v>0</v>
      </c>
    </row>
    <row r="153" spans="2:16" outlineLevel="1" x14ac:dyDescent="0.3">
      <c r="B153" s="26"/>
      <c r="C153" s="7" t="s">
        <v>37</v>
      </c>
      <c r="D153" s="280" t="b">
        <f>IF(AND(E153&gt;=0,E153&lt;=1,E153*E152*(1-E149)&lt;=E150),TRUE,FALSE)</f>
        <v>1</v>
      </c>
      <c r="E153" s="170">
        <v>0</v>
      </c>
      <c r="F153" s="20"/>
      <c r="G153" s="20"/>
      <c r="H153" s="20"/>
      <c r="I153" s="20"/>
      <c r="J153" s="20"/>
      <c r="K153" s="20"/>
      <c r="L153" s="20"/>
      <c r="M153" s="20"/>
      <c r="N153" s="20"/>
      <c r="O153" s="20"/>
      <c r="P153" s="102">
        <f t="shared" si="16"/>
        <v>0</v>
      </c>
    </row>
    <row r="154" spans="2:16" outlineLevel="1" x14ac:dyDescent="0.3">
      <c r="B154" s="26"/>
      <c r="C154" s="7" t="s">
        <v>38</v>
      </c>
      <c r="D154" s="280" t="b">
        <f>IF(AND(E154&gt;=0,E154&lt;=1,E154*E152*(1-E149)&lt;=E151),TRUE,FALSE)</f>
        <v>1</v>
      </c>
      <c r="E154" s="704">
        <f>1-E153</f>
        <v>1</v>
      </c>
      <c r="F154" s="20"/>
      <c r="G154" s="20"/>
      <c r="H154" s="20"/>
      <c r="I154" s="20"/>
      <c r="J154" s="20"/>
      <c r="K154" s="20"/>
      <c r="L154" s="20"/>
      <c r="M154" s="20"/>
      <c r="N154" s="20"/>
      <c r="O154" s="20"/>
      <c r="P154" s="101">
        <f t="shared" si="16"/>
        <v>1</v>
      </c>
    </row>
    <row r="155" spans="2:16" outlineLevel="1" x14ac:dyDescent="0.3">
      <c r="B155" s="26"/>
      <c r="C155" s="7" t="s">
        <v>50</v>
      </c>
      <c r="D155" s="280" t="b">
        <f>IF(E155&gt;0,TRUE,FALSE)</f>
        <v>1</v>
      </c>
      <c r="E155" s="93">
        <v>2.5</v>
      </c>
      <c r="F155" s="20"/>
      <c r="G155" s="20"/>
      <c r="H155" s="20"/>
      <c r="I155" s="20"/>
      <c r="J155" s="20"/>
      <c r="K155" s="20"/>
      <c r="L155" s="20"/>
      <c r="M155" s="20"/>
      <c r="N155" s="20"/>
      <c r="O155" s="20"/>
      <c r="P155" s="132">
        <f t="shared" si="16"/>
        <v>2.5</v>
      </c>
    </row>
    <row r="156" spans="2:16" outlineLevel="1" x14ac:dyDescent="0.3">
      <c r="B156" s="26"/>
      <c r="C156" s="7" t="s">
        <v>51</v>
      </c>
      <c r="D156" s="280" t="b">
        <f>IF(E156&gt;0,TRUE,FALSE)</f>
        <v>1</v>
      </c>
      <c r="E156" s="93">
        <v>5.5</v>
      </c>
      <c r="F156" s="20"/>
      <c r="G156" s="20"/>
      <c r="H156" s="20"/>
      <c r="I156" s="20"/>
      <c r="J156" s="20"/>
      <c r="K156" s="20"/>
      <c r="L156" s="20"/>
      <c r="M156" s="20"/>
      <c r="N156" s="20"/>
      <c r="O156" s="20"/>
      <c r="P156" s="132">
        <f t="shared" si="16"/>
        <v>5.5</v>
      </c>
    </row>
    <row r="157" spans="2:16" outlineLevel="1" x14ac:dyDescent="0.3">
      <c r="B157" s="29"/>
      <c r="C157" s="7" t="s">
        <v>1079</v>
      </c>
      <c r="D157" s="280" t="b">
        <f>IF(E157&gt;=0,TRUE,FALSE)</f>
        <v>1</v>
      </c>
      <c r="E157" s="155">
        <v>0</v>
      </c>
      <c r="F157" s="20"/>
      <c r="G157" s="20"/>
      <c r="H157" s="20"/>
      <c r="I157" s="20"/>
      <c r="J157" s="20"/>
      <c r="K157" s="20"/>
      <c r="L157" s="20"/>
      <c r="M157" s="20"/>
      <c r="N157" s="20"/>
      <c r="O157" s="20"/>
      <c r="P157" s="105">
        <f t="shared" si="16"/>
        <v>0</v>
      </c>
    </row>
    <row r="158" spans="2:16" ht="15" outlineLevel="1" thickBot="1" x14ac:dyDescent="0.35">
      <c r="B158" s="29"/>
      <c r="C158" s="3" t="s">
        <v>44</v>
      </c>
      <c r="D158" s="280" t="b">
        <f>IF(E158&gt;=0,TRUE,FALSE)</f>
        <v>1</v>
      </c>
      <c r="E158" s="155">
        <v>0</v>
      </c>
      <c r="F158" s="20"/>
      <c r="G158" s="20"/>
      <c r="H158" s="20"/>
      <c r="I158" s="20"/>
      <c r="J158" s="20"/>
      <c r="K158" s="20"/>
      <c r="L158" s="20"/>
      <c r="M158" s="20"/>
      <c r="N158" s="20"/>
      <c r="O158" s="20"/>
      <c r="P158" s="106">
        <f t="shared" si="16"/>
        <v>0</v>
      </c>
    </row>
    <row r="159" spans="2:16" ht="15.6" outlineLevel="1" x14ac:dyDescent="0.3">
      <c r="B159" s="38"/>
      <c r="C159" s="143"/>
      <c r="E159" s="242"/>
      <c r="F159" s="243"/>
      <c r="G159" s="243"/>
      <c r="H159" s="243"/>
      <c r="I159" s="243"/>
      <c r="J159" s="242" t="s">
        <v>59</v>
      </c>
      <c r="K159" s="243"/>
      <c r="L159" s="243"/>
      <c r="M159" s="243"/>
      <c r="N159" s="243"/>
      <c r="O159" s="244"/>
      <c r="P159" s="85"/>
    </row>
    <row r="160" spans="2:16" ht="16.2" outlineLevel="1" thickBot="1" x14ac:dyDescent="0.35">
      <c r="B160" s="38"/>
      <c r="C160" s="144"/>
      <c r="E160" s="51">
        <v>0</v>
      </c>
      <c r="F160" s="51">
        <v>1</v>
      </c>
      <c r="G160" s="51">
        <v>2</v>
      </c>
      <c r="H160" s="51">
        <v>3</v>
      </c>
      <c r="I160" s="51">
        <v>4</v>
      </c>
      <c r="J160" s="51">
        <v>5</v>
      </c>
      <c r="K160" s="51">
        <v>6</v>
      </c>
      <c r="L160" s="51">
        <v>7</v>
      </c>
      <c r="M160" s="51">
        <v>8</v>
      </c>
      <c r="N160" s="51">
        <v>9</v>
      </c>
      <c r="O160" s="51">
        <v>10</v>
      </c>
      <c r="P160" s="85"/>
    </row>
    <row r="161" spans="2:16" s="1" customFormat="1" ht="15.6" outlineLevel="1" x14ac:dyDescent="0.3">
      <c r="B161" s="38"/>
      <c r="C161" s="50" t="s">
        <v>545</v>
      </c>
      <c r="D161" s="288"/>
      <c r="E161" s="385" t="str">
        <f>IF('D. Annual Schedule Tables'!E233&gt;0,'D. Annual Schedule Tables'!E233,"")</f>
        <v/>
      </c>
      <c r="F161" s="16" t="str">
        <f ca="1">IF('D. Annual Schedule Tables'!F679&gt;0,'D. Annual Schedule Tables'!F679,"")</f>
        <v/>
      </c>
      <c r="G161" s="16" t="str">
        <f ca="1">IF('D. Annual Schedule Tables'!G679&gt;0,'D. Annual Schedule Tables'!G679,"")</f>
        <v/>
      </c>
      <c r="H161" s="16" t="str">
        <f ca="1">IF('D. Annual Schedule Tables'!H679&gt;0,'D. Annual Schedule Tables'!H679,"")</f>
        <v/>
      </c>
      <c r="I161" s="16" t="str">
        <f ca="1">IF('D. Annual Schedule Tables'!I679&gt;0,'D. Annual Schedule Tables'!I679,"")</f>
        <v/>
      </c>
      <c r="J161" s="16" t="str">
        <f ca="1">IF('D. Annual Schedule Tables'!J679&gt;0,'D. Annual Schedule Tables'!J679,"")</f>
        <v/>
      </c>
      <c r="K161" s="16" t="str">
        <f ca="1">IF('D. Annual Schedule Tables'!K679&gt;0,'D. Annual Schedule Tables'!K679,"")</f>
        <v/>
      </c>
      <c r="L161" s="16" t="str">
        <f ca="1">IF('D. Annual Schedule Tables'!L679&gt;0,'D. Annual Schedule Tables'!L679,"")</f>
        <v/>
      </c>
      <c r="M161" s="16" t="str">
        <f ca="1">IF('D. Annual Schedule Tables'!M679&gt;0,'D. Annual Schedule Tables'!M679,"")</f>
        <v/>
      </c>
      <c r="N161" s="16" t="str">
        <f ca="1">IF('D. Annual Schedule Tables'!N679&gt;0,'D. Annual Schedule Tables'!N679,"")</f>
        <v/>
      </c>
      <c r="O161" s="16" t="str">
        <f ca="1">IF('D. Annual Schedule Tables'!O679&gt;0,'D. Annual Schedule Tables'!O679,"")</f>
        <v/>
      </c>
      <c r="P161" s="387">
        <f ca="1">MAX(F161:O161)</f>
        <v>0</v>
      </c>
    </row>
    <row r="162" spans="2:16" s="1" customFormat="1" ht="15.6" outlineLevel="1" x14ac:dyDescent="0.3">
      <c r="B162" s="38"/>
      <c r="C162" s="50" t="s">
        <v>543</v>
      </c>
      <c r="D162" s="288"/>
      <c r="E162" s="386"/>
      <c r="F162" s="16" t="str">
        <f ca="1">IF('D. Annual Schedule Tables'!F680&gt;0,'D. Annual Schedule Tables'!F680,"")</f>
        <v/>
      </c>
      <c r="G162" s="16" t="str">
        <f ca="1">IF('D. Annual Schedule Tables'!G680&gt;0,'D. Annual Schedule Tables'!G680,"")</f>
        <v/>
      </c>
      <c r="H162" s="16" t="str">
        <f ca="1">IF('D. Annual Schedule Tables'!H680&gt;0,'D. Annual Schedule Tables'!H680,"")</f>
        <v/>
      </c>
      <c r="I162" s="16" t="str">
        <f ca="1">IF('D. Annual Schedule Tables'!I680&gt;0,'D. Annual Schedule Tables'!I680,"")</f>
        <v/>
      </c>
      <c r="J162" s="16" t="str">
        <f ca="1">IF('D. Annual Schedule Tables'!J680&gt;0,'D. Annual Schedule Tables'!J680,"")</f>
        <v/>
      </c>
      <c r="K162" s="16" t="str">
        <f ca="1">IF('D. Annual Schedule Tables'!K680&gt;0,'D. Annual Schedule Tables'!K680,"")</f>
        <v/>
      </c>
      <c r="L162" s="16" t="str">
        <f ca="1">IF('D. Annual Schedule Tables'!L680&gt;0,'D. Annual Schedule Tables'!L680,"")</f>
        <v/>
      </c>
      <c r="M162" s="16" t="str">
        <f ca="1">IF('D. Annual Schedule Tables'!M680&gt;0,'D. Annual Schedule Tables'!M680,"")</f>
        <v/>
      </c>
      <c r="N162" s="16" t="str">
        <f ca="1">IF('D. Annual Schedule Tables'!N680&gt;0,'D. Annual Schedule Tables'!N680,"")</f>
        <v/>
      </c>
      <c r="O162" s="16" t="str">
        <f ca="1">IF('D. Annual Schedule Tables'!O680&gt;0,'D. Annual Schedule Tables'!O680,"")</f>
        <v/>
      </c>
      <c r="P162" s="388" t="str">
        <f ca="1">IF(ISNA(INDEX(E162:O162,MATCH(9.99999999999999E+307,E162:O162))),"",INDEX(E162:O162,MATCH(9.99999999999999E+307,E162:O162)))</f>
        <v/>
      </c>
    </row>
    <row r="163" spans="2:16" s="1" customFormat="1" ht="15.6" outlineLevel="1" x14ac:dyDescent="0.3">
      <c r="B163" s="38"/>
      <c r="C163" s="50" t="s">
        <v>159</v>
      </c>
      <c r="D163" s="288"/>
      <c r="E163" s="381">
        <f ca="1">IF('D. Annual Schedule Tables'!E700&gt;0,'D. Annual Schedule Tables'!E700,"")</f>
        <v>1</v>
      </c>
      <c r="F163" s="381">
        <f ca="1">IF('D. Annual Schedule Tables'!F700&gt;0,'D. Annual Schedule Tables'!F700,"")</f>
        <v>1</v>
      </c>
      <c r="G163" s="381">
        <f ca="1">IF('D. Annual Schedule Tables'!G700&gt;0,'D. Annual Schedule Tables'!G700,"")</f>
        <v>1</v>
      </c>
      <c r="H163" s="381">
        <f ca="1">IF('D. Annual Schedule Tables'!H700&gt;0,'D. Annual Schedule Tables'!H700,"")</f>
        <v>1</v>
      </c>
      <c r="I163" s="381">
        <f ca="1">IF('D. Annual Schedule Tables'!I700&gt;0,'D. Annual Schedule Tables'!I700,"")</f>
        <v>1</v>
      </c>
      <c r="J163" s="381">
        <f ca="1">IF('D. Annual Schedule Tables'!J700&gt;0,'D. Annual Schedule Tables'!J700,"")</f>
        <v>1</v>
      </c>
      <c r="K163" s="381">
        <f ca="1">IF('D. Annual Schedule Tables'!K700&gt;0,'D. Annual Schedule Tables'!K700,"")</f>
        <v>1</v>
      </c>
      <c r="L163" s="381">
        <f ca="1">IF('D. Annual Schedule Tables'!L700&gt;0,'D. Annual Schedule Tables'!L700,"")</f>
        <v>1</v>
      </c>
      <c r="M163" s="381">
        <f ca="1">IF('D. Annual Schedule Tables'!M700&gt;0,'D. Annual Schedule Tables'!M700,"")</f>
        <v>1</v>
      </c>
      <c r="N163" s="381">
        <f ca="1">IF('D. Annual Schedule Tables'!N700&gt;0,'D. Annual Schedule Tables'!N700,"")</f>
        <v>1</v>
      </c>
      <c r="O163" s="381">
        <f ca="1">IF('D. Annual Schedule Tables'!O700&gt;0,'D. Annual Schedule Tables'!O700,"")</f>
        <v>1</v>
      </c>
      <c r="P163" s="111">
        <f ca="1">IF(ISNA(INDEX(E163:O163,MATCH(9.99999999999999E+307,E163:O163))),"",INDEX(E163:O163,MATCH(9.99999999999999E+307,E163:O163)))</f>
        <v>1</v>
      </c>
    </row>
    <row r="164" spans="2:16" ht="16.2" outlineLevel="1" thickBot="1" x14ac:dyDescent="0.35">
      <c r="B164" s="37"/>
      <c r="C164" s="11" t="s">
        <v>162</v>
      </c>
      <c r="D164" s="285"/>
      <c r="E164" s="384"/>
      <c r="F164" s="337" t="str">
        <f ca="1">IFERROR(F161*(E157+E158)*(1+E248)^F160,"")</f>
        <v/>
      </c>
      <c r="G164" s="337" t="str">
        <f ca="1">IFERROR(G161*(E157+E158)*(1+E248)^G160,"")</f>
        <v/>
      </c>
      <c r="H164" s="337" t="str">
        <f ca="1">IFERROR(H161*(E157+E158)*(1+E248)^H160,"")</f>
        <v/>
      </c>
      <c r="I164" s="337" t="str">
        <f ca="1">IFERROR(I161*(E157+E158)*(1+E248)^I160,"")</f>
        <v/>
      </c>
      <c r="J164" s="337" t="str">
        <f ca="1">IFERROR(J161*(E157+E158)*(1+E248)^J160,"")</f>
        <v/>
      </c>
      <c r="K164" s="337" t="str">
        <f ca="1">IFERROR(K161*(E157+E158)*(1+E248)^K160,"")</f>
        <v/>
      </c>
      <c r="L164" s="337" t="str">
        <f ca="1">IFERROR(L161*(E157+E158)*(1+E248)^L160,"")</f>
        <v/>
      </c>
      <c r="M164" s="337" t="str">
        <f ca="1">IFERROR(M161*(E157+E158)*(1+E248)^M160,"")</f>
        <v/>
      </c>
      <c r="N164" s="337" t="str">
        <f ca="1">IFERROR(N161*(E157+E158)*(1+E248)^N160,"")</f>
        <v/>
      </c>
      <c r="O164" s="337" t="str">
        <f ca="1">IFERROR(O161*(E157+E158)*(1+E248)^O160,"")</f>
        <v/>
      </c>
      <c r="P164" s="148">
        <f ca="1">SUM(E164:O164)</f>
        <v>0</v>
      </c>
    </row>
    <row r="166" spans="2:16" ht="15.6" x14ac:dyDescent="0.3">
      <c r="B166" s="253" t="s">
        <v>157</v>
      </c>
      <c r="C166" s="254"/>
    </row>
    <row r="167" spans="2:16" ht="15" outlineLevel="1" thickBot="1" x14ac:dyDescent="0.35">
      <c r="B167" s="26"/>
      <c r="C167" s="162"/>
      <c r="E167" s="268"/>
      <c r="F167" s="242" t="s">
        <v>58</v>
      </c>
      <c r="G167" s="269"/>
      <c r="H167" s="41"/>
      <c r="I167" s="41"/>
      <c r="J167" s="41"/>
      <c r="K167" s="41"/>
      <c r="L167" s="41"/>
      <c r="M167" s="41"/>
      <c r="N167" s="41"/>
      <c r="O167" s="41"/>
    </row>
    <row r="168" spans="2:16" ht="28.8" outlineLevel="1" x14ac:dyDescent="0.3">
      <c r="B168" s="178"/>
      <c r="C168" s="185"/>
      <c r="E168" s="35" t="s">
        <v>18</v>
      </c>
      <c r="F168" s="35" t="s">
        <v>20</v>
      </c>
      <c r="G168" s="35" t="s">
        <v>19</v>
      </c>
      <c r="H168" s="97"/>
      <c r="I168" s="97"/>
      <c r="J168" s="97"/>
      <c r="K168" s="97"/>
      <c r="L168" s="97"/>
      <c r="M168" s="97"/>
      <c r="N168" s="97"/>
      <c r="O168" s="97"/>
      <c r="P168" s="250" t="s">
        <v>2</v>
      </c>
    </row>
    <row r="169" spans="2:16" outlineLevel="1" x14ac:dyDescent="0.3">
      <c r="B169" s="26"/>
      <c r="C169" s="7" t="s">
        <v>40</v>
      </c>
      <c r="D169" s="280" t="b">
        <f>IF(AND(E169&gt;=0,E169&lt;=1,F169&gt;=0,F169&lt;=1,G169&gt;=0,G169&lt;=1),TRUE,FALSE)</f>
        <v>1</v>
      </c>
      <c r="E169" s="662">
        <v>0.72099999999999997</v>
      </c>
      <c r="F169" s="662">
        <v>1</v>
      </c>
      <c r="G169" s="662">
        <v>0.72099999999999997</v>
      </c>
      <c r="H169" s="97"/>
      <c r="I169" s="97"/>
      <c r="J169" s="97"/>
      <c r="K169" s="97"/>
      <c r="L169" s="97"/>
      <c r="M169" s="97"/>
      <c r="N169" s="97"/>
      <c r="O169" s="97"/>
      <c r="P169" s="99">
        <f ca="1">IFERROR(SUMPRODUCT(E133:O133,E169:O169)/P133,"")</f>
        <v>1</v>
      </c>
    </row>
    <row r="170" spans="2:16" outlineLevel="1" x14ac:dyDescent="0.3">
      <c r="B170" s="26"/>
      <c r="C170" s="22" t="s">
        <v>486</v>
      </c>
      <c r="D170" s="285"/>
      <c r="E170" s="23">
        <f ca="1">ROUND(E133*(1-E169),0)</f>
        <v>0</v>
      </c>
      <c r="F170" s="23">
        <f ca="1">ROUND(F133*(1-F169),0)</f>
        <v>0</v>
      </c>
      <c r="G170" s="23">
        <f ca="1">ROUND(G133*(1-G169),0)</f>
        <v>0</v>
      </c>
      <c r="H170" s="97"/>
      <c r="I170" s="97"/>
      <c r="J170" s="97"/>
      <c r="K170" s="97"/>
      <c r="L170" s="97"/>
      <c r="M170" s="97"/>
      <c r="N170" s="97"/>
      <c r="O170" s="97"/>
      <c r="P170" s="130">
        <f ca="1">SUM(E170:O170)</f>
        <v>0</v>
      </c>
    </row>
    <row r="171" spans="2:16" outlineLevel="1" x14ac:dyDescent="0.3">
      <c r="B171" s="26"/>
      <c r="C171" s="7" t="s">
        <v>41</v>
      </c>
      <c r="D171" s="280" t="b">
        <f>IF(AND(E171&gt;=0,E171&lt;=1,F171&gt;=0,F171&lt;=1,G171&gt;=0,G171&lt;=1),TRUE,FALSE)</f>
        <v>1</v>
      </c>
      <c r="E171" s="662">
        <v>0.34699999999999998</v>
      </c>
      <c r="F171" s="662">
        <v>0</v>
      </c>
      <c r="G171" s="662">
        <v>0.34699999999999998</v>
      </c>
      <c r="H171" s="97"/>
      <c r="I171" s="97"/>
      <c r="J171" s="97"/>
      <c r="K171" s="97"/>
      <c r="L171" s="97"/>
      <c r="M171" s="97"/>
      <c r="N171" s="97"/>
      <c r="O171" s="97"/>
      <c r="P171" s="99" t="str">
        <f ca="1">IFERROR(SUMPRODUCT(E170:O170,E171:O171)/P170,"")</f>
        <v/>
      </c>
    </row>
    <row r="172" spans="2:16" ht="15" outlineLevel="1" thickBot="1" x14ac:dyDescent="0.35">
      <c r="B172" s="26"/>
      <c r="C172" s="22" t="s">
        <v>33</v>
      </c>
      <c r="D172" s="285"/>
      <c r="E172" s="23">
        <f ca="1">ROUND(E133*(1-E169)*E171,0)</f>
        <v>0</v>
      </c>
      <c r="F172" s="23">
        <f ca="1">ROUND(F133*(1-F169)*F171,0)</f>
        <v>0</v>
      </c>
      <c r="G172" s="23">
        <f ca="1">ROUND(G133*(1-G169)*G171,0)</f>
        <v>0</v>
      </c>
      <c r="H172" s="97"/>
      <c r="I172" s="97"/>
      <c r="J172" s="97"/>
      <c r="K172" s="97"/>
      <c r="L172" s="97"/>
      <c r="M172" s="97"/>
      <c r="N172" s="97"/>
      <c r="O172" s="97"/>
      <c r="P172" s="76">
        <f ca="1">SUM(E172:O172)</f>
        <v>0</v>
      </c>
    </row>
    <row r="173" spans="2:16" ht="15" outlineLevel="1" thickBot="1" x14ac:dyDescent="0.35">
      <c r="B173" s="26"/>
      <c r="C173" s="96"/>
      <c r="D173" s="285"/>
      <c r="E173" s="273" t="s">
        <v>57</v>
      </c>
      <c r="F173" s="20"/>
      <c r="G173" s="20"/>
      <c r="H173" s="97"/>
      <c r="I173" s="97"/>
      <c r="J173" s="97"/>
      <c r="K173" s="97"/>
      <c r="L173" s="97"/>
      <c r="M173" s="97"/>
      <c r="N173" s="97"/>
      <c r="O173" s="97"/>
      <c r="P173" s="85"/>
    </row>
    <row r="174" spans="2:16" outlineLevel="1" x14ac:dyDescent="0.3">
      <c r="B174" s="26"/>
      <c r="C174" s="13" t="s">
        <v>941</v>
      </c>
      <c r="D174" s="280" t="b">
        <f>IF(AND(E174&gt;=0,E174&lt;=1),TRUE,FALSE)</f>
        <v>1</v>
      </c>
      <c r="E174" s="94">
        <v>1</v>
      </c>
      <c r="F174" s="20"/>
      <c r="G174" s="20"/>
      <c r="H174" s="97"/>
      <c r="I174" s="97"/>
      <c r="J174" s="97"/>
      <c r="K174" s="97"/>
      <c r="L174" s="97"/>
      <c r="M174" s="97"/>
      <c r="N174" s="97"/>
      <c r="O174" s="97"/>
      <c r="P174" s="100">
        <f>E174</f>
        <v>1</v>
      </c>
    </row>
    <row r="175" spans="2:16" outlineLevel="1" x14ac:dyDescent="0.3">
      <c r="B175" s="26"/>
      <c r="C175" s="7" t="s">
        <v>56</v>
      </c>
      <c r="D175" s="280" t="b">
        <f>IF(AND(E175&gt;=0,E175&lt;=1),TRUE,FALSE)</f>
        <v>1</v>
      </c>
      <c r="E175" s="685">
        <v>1</v>
      </c>
      <c r="F175" s="20"/>
      <c r="G175" s="20"/>
      <c r="H175" s="97"/>
      <c r="I175" s="97"/>
      <c r="J175" s="97"/>
      <c r="K175" s="97"/>
      <c r="L175" s="97"/>
      <c r="M175" s="97"/>
      <c r="N175" s="97"/>
      <c r="O175" s="97"/>
      <c r="P175" s="101">
        <f>E175</f>
        <v>1</v>
      </c>
    </row>
    <row r="176" spans="2:16" outlineLevel="1" x14ac:dyDescent="0.3">
      <c r="B176" s="26"/>
      <c r="C176" s="7" t="s">
        <v>539</v>
      </c>
      <c r="D176" s="280" t="b">
        <f>IF(AND(E176&gt;=0,E176&lt;=1),TRUE,FALSE)</f>
        <v>1</v>
      </c>
      <c r="E176" s="685">
        <v>0</v>
      </c>
      <c r="F176" s="20"/>
      <c r="G176" s="20"/>
      <c r="H176" s="97"/>
      <c r="I176" s="97"/>
      <c r="J176" s="97"/>
      <c r="K176" s="97"/>
      <c r="L176" s="97"/>
      <c r="M176" s="97"/>
      <c r="N176" s="97"/>
      <c r="O176" s="97"/>
      <c r="P176" s="101">
        <f t="shared" ref="P176" si="17">E176</f>
        <v>0</v>
      </c>
    </row>
    <row r="177" spans="2:16" outlineLevel="1" x14ac:dyDescent="0.3">
      <c r="B177" s="26"/>
      <c r="C177" s="7" t="s">
        <v>52</v>
      </c>
      <c r="D177" s="280" t="b">
        <f>IF(E177&gt;0,TRUE,FALSE)</f>
        <v>0</v>
      </c>
      <c r="E177" s="93">
        <v>0</v>
      </c>
      <c r="F177" s="20"/>
      <c r="G177" s="20"/>
      <c r="H177" s="97"/>
      <c r="I177" s="97"/>
      <c r="J177" s="97"/>
      <c r="K177" s="97"/>
      <c r="L177" s="97"/>
      <c r="M177" s="97"/>
      <c r="N177" s="97"/>
      <c r="O177" s="97"/>
      <c r="P177" s="104">
        <f t="shared" ref="P177:P180" si="18">E177</f>
        <v>0</v>
      </c>
    </row>
    <row r="178" spans="2:16" outlineLevel="1" x14ac:dyDescent="0.3">
      <c r="B178" s="29"/>
      <c r="C178" s="7" t="s">
        <v>1078</v>
      </c>
      <c r="D178" s="280" t="b">
        <f>IF(E178&gt;=0,TRUE,FALSE)</f>
        <v>1</v>
      </c>
      <c r="E178" s="155">
        <v>0</v>
      </c>
      <c r="F178" s="20"/>
      <c r="G178" s="20"/>
      <c r="H178" s="97"/>
      <c r="I178" s="97"/>
      <c r="J178" s="97"/>
      <c r="K178" s="97"/>
      <c r="L178" s="97"/>
      <c r="M178" s="97"/>
      <c r="N178" s="97"/>
      <c r="O178" s="97"/>
      <c r="P178" s="105">
        <f t="shared" si="18"/>
        <v>0</v>
      </c>
    </row>
    <row r="179" spans="2:16" outlineLevel="1" x14ac:dyDescent="0.3">
      <c r="B179" s="26"/>
      <c r="C179" s="3" t="s">
        <v>652</v>
      </c>
      <c r="D179" s="280" t="b">
        <f>IF(E179&gt;=0,TRUE,FALSE)</f>
        <v>1</v>
      </c>
      <c r="E179" s="155">
        <v>0</v>
      </c>
      <c r="F179" s="20"/>
      <c r="G179" s="20"/>
      <c r="H179" s="97"/>
      <c r="I179" s="97"/>
      <c r="J179" s="97"/>
      <c r="K179" s="97"/>
      <c r="L179" s="97"/>
      <c r="M179" s="97"/>
      <c r="N179" s="97"/>
      <c r="O179" s="97"/>
      <c r="P179" s="105">
        <f t="shared" si="18"/>
        <v>0</v>
      </c>
    </row>
    <row r="180" spans="2:16" ht="15" outlineLevel="1" thickBot="1" x14ac:dyDescent="0.35">
      <c r="B180" s="29"/>
      <c r="C180" s="3" t="s">
        <v>43</v>
      </c>
      <c r="D180" s="280" t="b">
        <f>IF(E180&gt;=0,TRUE,FALSE)</f>
        <v>1</v>
      </c>
      <c r="E180" s="155">
        <v>0</v>
      </c>
      <c r="F180" s="20"/>
      <c r="G180" s="20"/>
      <c r="H180" s="20"/>
      <c r="I180" s="20"/>
      <c r="J180" s="20"/>
      <c r="K180" s="20"/>
      <c r="L180" s="20"/>
      <c r="M180" s="20"/>
      <c r="N180" s="20"/>
      <c r="O180" s="20"/>
      <c r="P180" s="106">
        <f t="shared" si="18"/>
        <v>0</v>
      </c>
    </row>
    <row r="181" spans="2:16" ht="15.6" outlineLevel="1" x14ac:dyDescent="0.3">
      <c r="B181" s="38"/>
      <c r="C181" s="143"/>
      <c r="E181" s="242"/>
      <c r="F181" s="243"/>
      <c r="G181" s="243"/>
      <c r="H181" s="243"/>
      <c r="I181" s="243"/>
      <c r="J181" s="242" t="s">
        <v>59</v>
      </c>
      <c r="K181" s="243"/>
      <c r="L181" s="243"/>
      <c r="M181" s="243"/>
      <c r="N181" s="243"/>
      <c r="O181" s="244"/>
      <c r="P181" s="85"/>
    </row>
    <row r="182" spans="2:16" ht="16.2" outlineLevel="1" thickBot="1" x14ac:dyDescent="0.35">
      <c r="B182" s="38"/>
      <c r="C182" s="144"/>
      <c r="E182" s="51">
        <v>0</v>
      </c>
      <c r="F182" s="51">
        <v>1</v>
      </c>
      <c r="G182" s="51">
        <v>2</v>
      </c>
      <c r="H182" s="51">
        <v>3</v>
      </c>
      <c r="I182" s="51">
        <v>4</v>
      </c>
      <c r="J182" s="51">
        <v>5</v>
      </c>
      <c r="K182" s="51">
        <v>6</v>
      </c>
      <c r="L182" s="51">
        <v>7</v>
      </c>
      <c r="M182" s="51">
        <v>8</v>
      </c>
      <c r="N182" s="51">
        <v>9</v>
      </c>
      <c r="O182" s="51">
        <v>10</v>
      </c>
      <c r="P182" s="85"/>
    </row>
    <row r="183" spans="2:16" s="1" customFormat="1" ht="15.6" outlineLevel="1" x14ac:dyDescent="0.3">
      <c r="B183" s="38"/>
      <c r="C183" s="50" t="s">
        <v>499</v>
      </c>
      <c r="D183" s="288"/>
      <c r="E183" s="385" t="str">
        <f>IF('D. Annual Schedule Tables'!E411&gt;0,'D. Annual Schedule Tables'!E411,"")</f>
        <v/>
      </c>
      <c r="F183" s="16" t="str">
        <f ca="1">IF('D. Annual Schedule Tables'!F681&gt;0,'D. Annual Schedule Tables'!F681,"")</f>
        <v/>
      </c>
      <c r="G183" s="16" t="str">
        <f ca="1">IF('D. Annual Schedule Tables'!G681&gt;0,'D. Annual Schedule Tables'!G681,"")</f>
        <v/>
      </c>
      <c r="H183" s="16" t="str">
        <f ca="1">IF('D. Annual Schedule Tables'!H681&gt;0,'D. Annual Schedule Tables'!H681,"")</f>
        <v/>
      </c>
      <c r="I183" s="16" t="str">
        <f ca="1">IF('D. Annual Schedule Tables'!I681&gt;0,'D. Annual Schedule Tables'!I681,"")</f>
        <v/>
      </c>
      <c r="J183" s="16" t="str">
        <f ca="1">IF('D. Annual Schedule Tables'!J681&gt;0,'D. Annual Schedule Tables'!J681,"")</f>
        <v/>
      </c>
      <c r="K183" s="16" t="str">
        <f ca="1">IF('D. Annual Schedule Tables'!K681&gt;0,'D. Annual Schedule Tables'!K681,"")</f>
        <v/>
      </c>
      <c r="L183" s="16" t="str">
        <f ca="1">IF('D. Annual Schedule Tables'!L681&gt;0,'D. Annual Schedule Tables'!L681,"")</f>
        <v/>
      </c>
      <c r="M183" s="16" t="str">
        <f ca="1">IF('D. Annual Schedule Tables'!M681&gt;0,'D. Annual Schedule Tables'!M681,"")</f>
        <v/>
      </c>
      <c r="N183" s="16" t="str">
        <f ca="1">IF('D. Annual Schedule Tables'!N681&gt;0,'D. Annual Schedule Tables'!N681,"")</f>
        <v/>
      </c>
      <c r="O183" s="16" t="str">
        <f ca="1">IF('D. Annual Schedule Tables'!O681&gt;0,'D. Annual Schedule Tables'!O681,"")</f>
        <v/>
      </c>
      <c r="P183" s="387">
        <f ca="1">MAX(F183:O183)</f>
        <v>0</v>
      </c>
    </row>
    <row r="184" spans="2:16" s="1" customFormat="1" ht="15.6" outlineLevel="1" x14ac:dyDescent="0.3">
      <c r="B184" s="38"/>
      <c r="C184" s="50" t="s">
        <v>544</v>
      </c>
      <c r="D184" s="288"/>
      <c r="E184" s="386"/>
      <c r="F184" s="16" t="str">
        <f ca="1">IF('D. Annual Schedule Tables'!F682&gt;0,'D. Annual Schedule Tables'!F682,"")</f>
        <v/>
      </c>
      <c r="G184" s="16" t="str">
        <f ca="1">IF('D. Annual Schedule Tables'!G682&gt;0,'D. Annual Schedule Tables'!G682,"")</f>
        <v/>
      </c>
      <c r="H184" s="16" t="str">
        <f ca="1">IF('D. Annual Schedule Tables'!H682&gt;0,'D. Annual Schedule Tables'!H682,"")</f>
        <v/>
      </c>
      <c r="I184" s="16" t="str">
        <f ca="1">IF('D. Annual Schedule Tables'!I682&gt;0,'D. Annual Schedule Tables'!I682,"")</f>
        <v/>
      </c>
      <c r="J184" s="16" t="str">
        <f ca="1">IF('D. Annual Schedule Tables'!J682&gt;0,'D. Annual Schedule Tables'!J682,"")</f>
        <v/>
      </c>
      <c r="K184" s="16" t="str">
        <f ca="1">IF('D. Annual Schedule Tables'!K682&gt;0,'D. Annual Schedule Tables'!K682,"")</f>
        <v/>
      </c>
      <c r="L184" s="16" t="str">
        <f ca="1">IF('D. Annual Schedule Tables'!L682&gt;0,'D. Annual Schedule Tables'!L682,"")</f>
        <v/>
      </c>
      <c r="M184" s="16" t="str">
        <f ca="1">IF('D. Annual Schedule Tables'!M682&gt;0,'D. Annual Schedule Tables'!M682,"")</f>
        <v/>
      </c>
      <c r="N184" s="16" t="str">
        <f ca="1">IF('D. Annual Schedule Tables'!N682&gt;0,'D. Annual Schedule Tables'!N682,"")</f>
        <v/>
      </c>
      <c r="O184" s="16" t="str">
        <f ca="1">IF('D. Annual Schedule Tables'!O682&gt;0,'D. Annual Schedule Tables'!O682,"")</f>
        <v/>
      </c>
      <c r="P184" s="388" t="str">
        <f t="shared" ref="P184:P185" ca="1" si="19">IF(ISNA(INDEX(E184:O184,MATCH(9.99999999999999E+307,E184:O184))),"",INDEX(E184:O184,MATCH(9.99999999999999E+307,E184:O184)))</f>
        <v/>
      </c>
    </row>
    <row r="185" spans="2:16" s="1" customFormat="1" ht="15.6" outlineLevel="1" x14ac:dyDescent="0.3">
      <c r="B185" s="38"/>
      <c r="C185" s="50" t="s">
        <v>160</v>
      </c>
      <c r="D185" s="288"/>
      <c r="E185" s="381">
        <f ca="1">IF('D. Annual Schedule Tables'!E710&gt;0,'D. Annual Schedule Tables'!E710,"")</f>
        <v>1</v>
      </c>
      <c r="F185" s="381">
        <f ca="1">IF('D. Annual Schedule Tables'!F710&gt;0,'D. Annual Schedule Tables'!F710,"")</f>
        <v>1</v>
      </c>
      <c r="G185" s="381">
        <f ca="1">IF('D. Annual Schedule Tables'!G710&gt;0,'D. Annual Schedule Tables'!G710,"")</f>
        <v>1</v>
      </c>
      <c r="H185" s="381">
        <f ca="1">IF('D. Annual Schedule Tables'!H710&gt;0,'D. Annual Schedule Tables'!H710,"")</f>
        <v>1</v>
      </c>
      <c r="I185" s="381">
        <f ca="1">IF('D. Annual Schedule Tables'!I710&gt;0,'D. Annual Schedule Tables'!I710,"")</f>
        <v>1</v>
      </c>
      <c r="J185" s="381">
        <f ca="1">IF('D. Annual Schedule Tables'!J710&gt;0,'D. Annual Schedule Tables'!J710,"")</f>
        <v>1</v>
      </c>
      <c r="K185" s="381">
        <f ca="1">IF('D. Annual Schedule Tables'!K710&gt;0,'D. Annual Schedule Tables'!K710,"")</f>
        <v>1</v>
      </c>
      <c r="L185" s="381">
        <f ca="1">IF('D. Annual Schedule Tables'!L710&gt;0,'D. Annual Schedule Tables'!L710,"")</f>
        <v>1</v>
      </c>
      <c r="M185" s="381">
        <f ca="1">IF('D. Annual Schedule Tables'!M710&gt;0,'D. Annual Schedule Tables'!M710,"")</f>
        <v>1</v>
      </c>
      <c r="N185" s="381">
        <f ca="1">IF('D. Annual Schedule Tables'!N710&gt;0,'D. Annual Schedule Tables'!N710,"")</f>
        <v>1</v>
      </c>
      <c r="O185" s="381">
        <f ca="1">IF('D. Annual Schedule Tables'!O710&gt;0,'D. Annual Schedule Tables'!O710,"")</f>
        <v>1</v>
      </c>
      <c r="P185" s="111">
        <f t="shared" ca="1" si="19"/>
        <v>1</v>
      </c>
    </row>
    <row r="186" spans="2:16" ht="16.2" outlineLevel="1" thickBot="1" x14ac:dyDescent="0.35">
      <c r="B186" s="37"/>
      <c r="C186" s="11" t="s">
        <v>161</v>
      </c>
      <c r="D186" s="285"/>
      <c r="E186" s="384"/>
      <c r="F186" s="337" t="str">
        <f ca="1">IFERROR(F183*(E178+E180)*(1+E248)^F182,"")</f>
        <v/>
      </c>
      <c r="G186" s="337" t="str">
        <f ca="1">IFERROR(G183*(E178+E180)*(1+E248)^G182,"")</f>
        <v/>
      </c>
      <c r="H186" s="337" t="str">
        <f ca="1">IFERROR(H183*(E178+E180)*(1+E248)^H182,"")</f>
        <v/>
      </c>
      <c r="I186" s="337" t="str">
        <f ca="1">IFERROR(I183*(E178+E180)*(1+E248)^I182,"")</f>
        <v/>
      </c>
      <c r="J186" s="337" t="str">
        <f ca="1">IFERROR(J183*(E178+E180)*(1+E248)^J182,"")</f>
        <v/>
      </c>
      <c r="K186" s="337" t="str">
        <f ca="1">IFERROR(K183*(E178+E180)*(1+E248)^K182,"")</f>
        <v/>
      </c>
      <c r="L186" s="337" t="str">
        <f ca="1">IFERROR(L183*(E178+E180)*(1+E248)^L182,"")</f>
        <v/>
      </c>
      <c r="M186" s="337" t="str">
        <f ca="1">IFERROR(M183*(E178+E180)*(1+E248)^M182,"")</f>
        <v/>
      </c>
      <c r="N186" s="337" t="str">
        <f ca="1">IFERROR(N183*(E178+E180)*(1+E248)^N182,"")</f>
        <v/>
      </c>
      <c r="O186" s="337" t="str">
        <f ca="1">IFERROR(O183*(E178+E180)*(1+E248)^O182,"")</f>
        <v/>
      </c>
      <c r="P186" s="148">
        <f ca="1">SUM(E186:O186)</f>
        <v>0</v>
      </c>
    </row>
    <row r="188" spans="2:16" ht="15.6" x14ac:dyDescent="0.3">
      <c r="B188" s="253" t="s">
        <v>158</v>
      </c>
      <c r="C188" s="254"/>
    </row>
    <row r="189" spans="2:16" ht="15" outlineLevel="1" thickBot="1" x14ac:dyDescent="0.35">
      <c r="B189" s="216"/>
      <c r="C189" s="25"/>
      <c r="E189" s="268"/>
      <c r="F189" s="242" t="s">
        <v>58</v>
      </c>
      <c r="G189" s="269"/>
      <c r="H189" s="41"/>
      <c r="I189" s="41"/>
      <c r="J189" s="41"/>
      <c r="K189" s="41"/>
      <c r="L189" s="41"/>
      <c r="M189" s="41"/>
      <c r="N189" s="41"/>
      <c r="O189" s="41"/>
    </row>
    <row r="190" spans="2:16" ht="28.8" outlineLevel="1" x14ac:dyDescent="0.3">
      <c r="B190" s="178"/>
      <c r="C190" s="185"/>
      <c r="D190" s="285"/>
      <c r="E190" s="35" t="s">
        <v>18</v>
      </c>
      <c r="F190" s="35" t="s">
        <v>20</v>
      </c>
      <c r="G190" s="35" t="s">
        <v>19</v>
      </c>
      <c r="H190" s="97"/>
      <c r="I190" s="97"/>
      <c r="J190" s="97"/>
      <c r="K190" s="97"/>
      <c r="L190" s="97"/>
      <c r="M190" s="97"/>
      <c r="N190" s="97"/>
      <c r="O190" s="97"/>
      <c r="P190" s="250" t="s">
        <v>2</v>
      </c>
    </row>
    <row r="191" spans="2:16" outlineLevel="1" x14ac:dyDescent="0.3">
      <c r="B191" s="26"/>
      <c r="C191" s="7" t="s">
        <v>32</v>
      </c>
      <c r="E191" s="167">
        <f ca="1">'D. Annual Schedule Tables'!E118</f>
        <v>0</v>
      </c>
      <c r="F191" s="167">
        <f ca="1">'D. Annual Schedule Tables'!E122</f>
        <v>619</v>
      </c>
      <c r="G191" s="167">
        <f ca="1">'D. Annual Schedule Tables'!E126</f>
        <v>0</v>
      </c>
      <c r="H191" s="97"/>
      <c r="I191" s="97"/>
      <c r="J191" s="97"/>
      <c r="K191" s="97"/>
      <c r="L191" s="97"/>
      <c r="M191" s="97"/>
      <c r="N191" s="97"/>
      <c r="O191" s="97"/>
      <c r="P191" s="133">
        <f ca="1">SUM(E191:O191)</f>
        <v>619</v>
      </c>
    </row>
    <row r="192" spans="2:16" outlineLevel="1" x14ac:dyDescent="0.3">
      <c r="B192" s="26"/>
      <c r="C192" s="7" t="s">
        <v>47</v>
      </c>
      <c r="D192" s="280" t="b">
        <f>IF(AND(E192&gt;=0,E192&lt;=1,F192&gt;=0,F192&lt;=1,G192&gt;=0,G192&lt;=1),TRUE,FALSE)</f>
        <v>1</v>
      </c>
      <c r="E192" s="662">
        <v>0.64500000000000002</v>
      </c>
      <c r="F192" s="662">
        <v>0.66</v>
      </c>
      <c r="G192" s="662">
        <v>0.64500000000000002</v>
      </c>
      <c r="H192" s="97"/>
      <c r="I192" s="97"/>
      <c r="J192" s="97"/>
      <c r="K192" s="97"/>
      <c r="L192" s="97"/>
      <c r="M192" s="97"/>
      <c r="N192" s="97"/>
      <c r="O192" s="97"/>
      <c r="P192" s="99">
        <f ca="1">IFERROR(SUMPRODUCT(E191:O191,E192:O192)/P191,"")</f>
        <v>0.66</v>
      </c>
    </row>
    <row r="193" spans="2:16" outlineLevel="1" x14ac:dyDescent="0.3">
      <c r="B193" s="26"/>
      <c r="C193" s="22" t="s">
        <v>501</v>
      </c>
      <c r="D193" s="285"/>
      <c r="E193" s="23">
        <f ca="1">ROUND(E191*(1-E192),0)</f>
        <v>0</v>
      </c>
      <c r="F193" s="23">
        <f ca="1">ROUND(F191*(1-F192),0)</f>
        <v>210</v>
      </c>
      <c r="G193" s="23">
        <f ca="1">ROUND(G191*(1-G192),0)</f>
        <v>0</v>
      </c>
      <c r="H193" s="97"/>
      <c r="I193" s="97"/>
      <c r="J193" s="97"/>
      <c r="K193" s="97"/>
      <c r="L193" s="97"/>
      <c r="M193" s="97"/>
      <c r="N193" s="97"/>
      <c r="O193" s="97"/>
      <c r="P193" s="133">
        <f ca="1">SUM(E193:O193)</f>
        <v>210</v>
      </c>
    </row>
    <row r="194" spans="2:16" outlineLevel="1" x14ac:dyDescent="0.3">
      <c r="B194" s="26"/>
      <c r="C194" s="7" t="s">
        <v>48</v>
      </c>
      <c r="D194" s="280" t="b">
        <f>IF(AND(E194&gt;=0,E194&lt;=1,F194&gt;=0,F194&lt;=1,G194&gt;=0,G194&lt;=1),TRUE,FALSE)</f>
        <v>1</v>
      </c>
      <c r="E194" s="662">
        <v>0.41</v>
      </c>
      <c r="F194" s="662">
        <v>0.4</v>
      </c>
      <c r="G194" s="662">
        <v>0.41</v>
      </c>
      <c r="H194" s="97"/>
      <c r="I194" s="97"/>
      <c r="J194" s="97"/>
      <c r="K194" s="97"/>
      <c r="L194" s="97"/>
      <c r="M194" s="97"/>
      <c r="N194" s="97"/>
      <c r="O194" s="97"/>
      <c r="P194" s="99">
        <f ca="1">IFERROR(SUMPRODUCT(E191:O191,E194:O194)/P191,"")</f>
        <v>0.4</v>
      </c>
    </row>
    <row r="195" spans="2:16" ht="15" outlineLevel="1" thickBot="1" x14ac:dyDescent="0.35">
      <c r="B195" s="26"/>
      <c r="C195" s="22" t="s">
        <v>49</v>
      </c>
      <c r="E195" s="23">
        <f ca="1">ROUND(E191*(1-E192)*E194,0)</f>
        <v>0</v>
      </c>
      <c r="F195" s="23">
        <f ca="1">ROUND(F191*(1-F192)*F194,0)</f>
        <v>84</v>
      </c>
      <c r="G195" s="23">
        <f ca="1">ROUND(G191*(1-G192)*G194,0)</f>
        <v>0</v>
      </c>
      <c r="H195" s="97"/>
      <c r="I195" s="97"/>
      <c r="J195" s="97"/>
      <c r="K195" s="97"/>
      <c r="L195" s="97"/>
      <c r="M195" s="97"/>
      <c r="N195" s="97"/>
      <c r="O195" s="97"/>
      <c r="P195" s="134">
        <f ca="1">SUM(E195:O195)</f>
        <v>84</v>
      </c>
    </row>
    <row r="196" spans="2:16" ht="15" outlineLevel="1" thickBot="1" x14ac:dyDescent="0.35">
      <c r="B196" s="26"/>
      <c r="C196" s="96"/>
      <c r="E196" s="252" t="s">
        <v>57</v>
      </c>
      <c r="F196" s="20"/>
      <c r="G196" s="20"/>
      <c r="H196" s="97"/>
      <c r="I196" s="97"/>
      <c r="J196" s="97"/>
      <c r="K196" s="97"/>
      <c r="L196" s="97"/>
      <c r="M196" s="97"/>
      <c r="N196" s="97"/>
      <c r="O196" s="97"/>
      <c r="P196" s="85"/>
    </row>
    <row r="197" spans="2:16" outlineLevel="1" x14ac:dyDescent="0.3">
      <c r="B197" s="26"/>
      <c r="C197" s="13" t="s">
        <v>940</v>
      </c>
      <c r="D197" s="280" t="b">
        <f>IF(AND(E197&gt;=0,E197&lt;=1),TRUE,FALSE)</f>
        <v>1</v>
      </c>
      <c r="E197" s="94">
        <v>1</v>
      </c>
      <c r="F197" s="20"/>
      <c r="G197" s="20"/>
      <c r="H197" s="97"/>
      <c r="I197" s="97"/>
      <c r="J197" s="97"/>
      <c r="K197" s="97"/>
      <c r="L197" s="97"/>
      <c r="M197" s="97"/>
      <c r="N197" s="97"/>
      <c r="O197" s="97"/>
      <c r="P197" s="100">
        <f>E197</f>
        <v>1</v>
      </c>
    </row>
    <row r="198" spans="2:16" outlineLevel="1" x14ac:dyDescent="0.3">
      <c r="B198" s="26"/>
      <c r="C198" s="7" t="s">
        <v>1031</v>
      </c>
      <c r="D198" s="280" t="b">
        <f>IF(AND(E198&gt;=0,E198&lt;=1),TRUE,FALSE)</f>
        <v>1</v>
      </c>
      <c r="E198" s="94">
        <v>0.1</v>
      </c>
      <c r="F198" s="20"/>
      <c r="G198" s="20"/>
      <c r="H198" s="97"/>
      <c r="I198" s="97"/>
      <c r="J198" s="97"/>
      <c r="K198" s="97"/>
      <c r="L198" s="97"/>
      <c r="M198" s="97"/>
      <c r="N198" s="97"/>
      <c r="O198" s="97"/>
      <c r="P198" s="103">
        <f t="shared" ref="P198:P203" si="20">E198</f>
        <v>0.1</v>
      </c>
    </row>
    <row r="199" spans="2:16" outlineLevel="1" x14ac:dyDescent="0.3">
      <c r="B199" s="26"/>
      <c r="C199" s="7" t="s">
        <v>54</v>
      </c>
      <c r="D199" s="280" t="b">
        <f>IF(AND(E199&gt;=0,E199&lt;=1),TRUE,FALSE)</f>
        <v>1</v>
      </c>
      <c r="E199" s="685">
        <v>0.64500000000000002</v>
      </c>
      <c r="F199" s="20"/>
      <c r="G199" s="20"/>
      <c r="H199" s="97"/>
      <c r="I199" s="97"/>
      <c r="J199" s="97"/>
      <c r="K199" s="97"/>
      <c r="L199" s="97"/>
      <c r="M199" s="97"/>
      <c r="N199" s="97"/>
      <c r="O199" s="97"/>
      <c r="P199" s="101">
        <f t="shared" si="20"/>
        <v>0.64500000000000002</v>
      </c>
    </row>
    <row r="200" spans="2:16" outlineLevel="1" x14ac:dyDescent="0.3">
      <c r="B200" s="26"/>
      <c r="C200" s="7" t="s">
        <v>529</v>
      </c>
      <c r="D200" s="280" t="b">
        <f>IF(AND(E200&gt;=0,E200&lt;=1),TRUE,FALSE)</f>
        <v>1</v>
      </c>
      <c r="E200" s="685">
        <v>0.41</v>
      </c>
      <c r="F200" s="20"/>
      <c r="G200" s="20"/>
      <c r="H200" s="97"/>
      <c r="I200" s="97"/>
      <c r="J200" s="97"/>
      <c r="K200" s="97"/>
      <c r="L200" s="97"/>
      <c r="M200" s="97"/>
      <c r="N200" s="97"/>
      <c r="O200" s="97"/>
      <c r="P200" s="101">
        <f t="shared" si="20"/>
        <v>0.41</v>
      </c>
    </row>
    <row r="201" spans="2:16" outlineLevel="1" x14ac:dyDescent="0.3">
      <c r="B201" s="26"/>
      <c r="C201" s="7" t="s">
        <v>53</v>
      </c>
      <c r="D201" s="280" t="b">
        <f>IF(E201&gt;0,TRUE,FALSE)</f>
        <v>1</v>
      </c>
      <c r="E201" s="93">
        <v>1.5</v>
      </c>
      <c r="F201" s="20"/>
      <c r="G201" s="20"/>
      <c r="H201" s="97"/>
      <c r="I201" s="97"/>
      <c r="J201" s="97"/>
      <c r="K201" s="97"/>
      <c r="L201" s="97"/>
      <c r="M201" s="97"/>
      <c r="N201" s="97"/>
      <c r="O201" s="97"/>
      <c r="P201" s="132">
        <f t="shared" si="20"/>
        <v>1.5</v>
      </c>
    </row>
    <row r="202" spans="2:16" outlineLevel="1" x14ac:dyDescent="0.3">
      <c r="B202" s="29"/>
      <c r="C202" s="7" t="s">
        <v>1080</v>
      </c>
      <c r="D202" s="280" t="b">
        <f>IF(E202&gt;=0,TRUE,FALSE)</f>
        <v>1</v>
      </c>
      <c r="E202" s="155">
        <v>1800</v>
      </c>
      <c r="F202" s="20"/>
      <c r="G202" s="20"/>
      <c r="H202" s="97"/>
      <c r="I202" s="97"/>
      <c r="J202" s="97"/>
      <c r="K202" s="97"/>
      <c r="L202" s="97"/>
      <c r="M202" s="97"/>
      <c r="N202" s="97"/>
      <c r="O202" s="97"/>
      <c r="P202" s="105">
        <f t="shared" si="20"/>
        <v>1800</v>
      </c>
    </row>
    <row r="203" spans="2:16" ht="15" outlineLevel="1" thickBot="1" x14ac:dyDescent="0.35">
      <c r="B203" s="29"/>
      <c r="C203" s="3" t="s">
        <v>302</v>
      </c>
      <c r="D203" s="280" t="b">
        <f>IF(E203&gt;=0,TRUE,FALSE)</f>
        <v>1</v>
      </c>
      <c r="E203" s="155">
        <v>100</v>
      </c>
      <c r="H203" s="97"/>
      <c r="I203" s="97"/>
      <c r="J203" s="97"/>
      <c r="K203" s="97"/>
      <c r="L203" s="97"/>
      <c r="M203" s="97"/>
      <c r="N203" s="97"/>
      <c r="O203" s="97"/>
      <c r="P203" s="106">
        <f t="shared" si="20"/>
        <v>100</v>
      </c>
    </row>
    <row r="204" spans="2:16" ht="15.6" outlineLevel="1" x14ac:dyDescent="0.3">
      <c r="B204" s="38"/>
      <c r="C204" s="143"/>
      <c r="E204" s="242"/>
      <c r="F204" s="243"/>
      <c r="G204" s="243"/>
      <c r="H204" s="243"/>
      <c r="I204" s="243"/>
      <c r="J204" s="242" t="s">
        <v>59</v>
      </c>
      <c r="K204" s="243"/>
      <c r="L204" s="243"/>
      <c r="M204" s="243"/>
      <c r="N204" s="243"/>
      <c r="O204" s="244"/>
      <c r="P204" s="85"/>
    </row>
    <row r="205" spans="2:16" ht="16.2" outlineLevel="1" thickBot="1" x14ac:dyDescent="0.35">
      <c r="B205" s="38"/>
      <c r="C205" s="144"/>
      <c r="E205" s="51">
        <v>0</v>
      </c>
      <c r="F205" s="51">
        <v>1</v>
      </c>
      <c r="G205" s="51">
        <v>2</v>
      </c>
      <c r="H205" s="51">
        <v>3</v>
      </c>
      <c r="I205" s="51">
        <v>4</v>
      </c>
      <c r="J205" s="51">
        <v>5</v>
      </c>
      <c r="K205" s="51">
        <v>6</v>
      </c>
      <c r="L205" s="51">
        <v>7</v>
      </c>
      <c r="M205" s="51">
        <v>8</v>
      </c>
      <c r="N205" s="51">
        <v>9</v>
      </c>
      <c r="O205" s="51">
        <v>10</v>
      </c>
      <c r="P205" s="85"/>
    </row>
    <row r="206" spans="2:16" s="1" customFormat="1" ht="15.6" outlineLevel="1" x14ac:dyDescent="0.3">
      <c r="B206" s="38"/>
      <c r="C206" s="50" t="s">
        <v>163</v>
      </c>
      <c r="D206" s="288"/>
      <c r="E206" s="385" t="str">
        <f>IF('D. Annual Schedule Tables'!E435&gt;0,'D. Annual Schedule Tables'!E435,"")</f>
        <v/>
      </c>
      <c r="F206" s="16">
        <f ca="1">IF('D. Annual Schedule Tables'!F683&gt;0,'D. Annual Schedule Tables'!F683,"")</f>
        <v>87</v>
      </c>
      <c r="G206" s="16">
        <f ca="1">IF('D. Annual Schedule Tables'!G683&gt;0,'D. Annual Schedule Tables'!G683,"")</f>
        <v>50</v>
      </c>
      <c r="H206" s="16">
        <f ca="1">IF('D. Annual Schedule Tables'!H683&gt;0,'D. Annual Schedule Tables'!H683,"")</f>
        <v>17</v>
      </c>
      <c r="I206" s="16">
        <f ca="1">IF('D. Annual Schedule Tables'!I683&gt;0,'D. Annual Schedule Tables'!I683,"")</f>
        <v>17</v>
      </c>
      <c r="J206" s="16">
        <f ca="1">IF('D. Annual Schedule Tables'!J683&gt;0,'D. Annual Schedule Tables'!J683,"")</f>
        <v>17</v>
      </c>
      <c r="K206" s="16">
        <f ca="1">IF('D. Annual Schedule Tables'!K683&gt;0,'D. Annual Schedule Tables'!K683,"")</f>
        <v>18</v>
      </c>
      <c r="L206" s="16">
        <f ca="1">IF('D. Annual Schedule Tables'!L683&gt;0,'D. Annual Schedule Tables'!L683,"")</f>
        <v>19</v>
      </c>
      <c r="M206" s="16">
        <f ca="1">IF('D. Annual Schedule Tables'!M683&gt;0,'D. Annual Schedule Tables'!M683,"")</f>
        <v>19</v>
      </c>
      <c r="N206" s="16">
        <f ca="1">IF('D. Annual Schedule Tables'!N683&gt;0,'D. Annual Schedule Tables'!N683,"")</f>
        <v>19</v>
      </c>
      <c r="O206" s="16">
        <f ca="1">IF('D. Annual Schedule Tables'!O683&gt;0,'D. Annual Schedule Tables'!O683,"")</f>
        <v>19</v>
      </c>
      <c r="P206" s="389">
        <f ca="1">MAX(E206:O206)</f>
        <v>87</v>
      </c>
    </row>
    <row r="207" spans="2:16" s="1" customFormat="1" ht="15.6" outlineLevel="1" x14ac:dyDescent="0.3">
      <c r="B207" s="38"/>
      <c r="C207" s="50" t="s">
        <v>558</v>
      </c>
      <c r="D207" s="288"/>
      <c r="E207" s="386"/>
      <c r="F207" s="16" t="str">
        <f ca="1">IF('D. Annual Schedule Tables'!F684&gt;0,'D. Annual Schedule Tables'!F684,"")</f>
        <v/>
      </c>
      <c r="G207" s="16">
        <f ca="1">IF('D. Annual Schedule Tables'!G684&gt;0,'D. Annual Schedule Tables'!G684,"")</f>
        <v>70</v>
      </c>
      <c r="H207" s="16">
        <f ca="1">IF('D. Annual Schedule Tables'!H684&gt;0,'D. Annual Schedule Tables'!H684,"")</f>
        <v>72</v>
      </c>
      <c r="I207" s="16">
        <f ca="1">IF('D. Annual Schedule Tables'!I684&gt;0,'D. Annual Schedule Tables'!I684,"")</f>
        <v>73</v>
      </c>
      <c r="J207" s="16">
        <f ca="1">IF('D. Annual Schedule Tables'!J684&gt;0,'D. Annual Schedule Tables'!J684,"")</f>
        <v>75</v>
      </c>
      <c r="K207" s="16">
        <f ca="1">IF('D. Annual Schedule Tables'!K684&gt;0,'D. Annual Schedule Tables'!K684,"")</f>
        <v>77</v>
      </c>
      <c r="L207" s="16">
        <f ca="1">IF('D. Annual Schedule Tables'!L684&gt;0,'D. Annual Schedule Tables'!L684,"")</f>
        <v>80</v>
      </c>
      <c r="M207" s="16">
        <f ca="1">IF('D. Annual Schedule Tables'!M684&gt;0,'D. Annual Schedule Tables'!M684,"")</f>
        <v>82</v>
      </c>
      <c r="N207" s="16">
        <f ca="1">IF('D. Annual Schedule Tables'!N684&gt;0,'D. Annual Schedule Tables'!N684,"")</f>
        <v>85</v>
      </c>
      <c r="O207" s="16">
        <f ca="1">IF('D. Annual Schedule Tables'!O684&gt;0,'D. Annual Schedule Tables'!O684,"")</f>
        <v>87</v>
      </c>
      <c r="P207" s="390">
        <f t="shared" ref="P207:P208" ca="1" si="21">IF(ISNA(INDEX(E207:O207,MATCH(9.99999999999999E+307,E207:O207))),"",INDEX(E207:O207,MATCH(9.99999999999999E+307,E207:O207)))</f>
        <v>87</v>
      </c>
    </row>
    <row r="208" spans="2:16" s="1" customFormat="1" ht="15.6" outlineLevel="1" x14ac:dyDescent="0.3">
      <c r="B208" s="38"/>
      <c r="C208" s="50" t="s">
        <v>559</v>
      </c>
      <c r="D208" s="288"/>
      <c r="E208" s="381">
        <f ca="1">IF('D. Annual Schedule Tables'!E720&gt;0,'D. Annual Schedule Tables'!E720,"")</f>
        <v>0.6607431340872375</v>
      </c>
      <c r="F208" s="381">
        <f ca="1">IF('D. Annual Schedule Tables'!F720&gt;0,'D. Annual Schedule Tables'!F720,"")</f>
        <v>0.65826771653543303</v>
      </c>
      <c r="G208" s="381">
        <f ca="1">IF('D. Annual Schedule Tables'!G720&gt;0,'D. Annual Schedule Tables'!G720,"")</f>
        <v>0.76461538461538459</v>
      </c>
      <c r="H208" s="381">
        <f ca="1">IF('D. Annual Schedule Tables'!H720&gt;0,'D. Annual Schedule Tables'!H720,"")</f>
        <v>0.7642642642642643</v>
      </c>
      <c r="I208" s="381">
        <f ca="1">IF('D. Annual Schedule Tables'!I720&gt;0,'D. Annual Schedule Tables'!I720,"")</f>
        <v>0.76099706744868034</v>
      </c>
      <c r="J208" s="381">
        <f ca="1">IF('D. Annual Schedule Tables'!J720&gt;0,'D. Annual Schedule Tables'!J720,"")</f>
        <v>0.76183644189383071</v>
      </c>
      <c r="K208" s="381">
        <f ca="1">IF('D. Annual Schedule Tables'!K720&gt;0,'D. Annual Schedule Tables'!K720,"")</f>
        <v>0.76016830294530158</v>
      </c>
      <c r="L208" s="381">
        <f ca="1">IF('D. Annual Schedule Tables'!L720&gt;0,'D. Annual Schedule Tables'!L720,"")</f>
        <v>0.76098901098901095</v>
      </c>
      <c r="M208" s="381">
        <f ca="1">IF('D. Annual Schedule Tables'!M720&gt;0,'D. Annual Schedule Tables'!M720,"")</f>
        <v>0.760752688172043</v>
      </c>
      <c r="N208" s="381">
        <f ca="1">IF('D. Annual Schedule Tables'!N720&gt;0,'D. Annual Schedule Tables'!N720,"")</f>
        <v>0.76184210526315788</v>
      </c>
      <c r="O208" s="381">
        <f ca="1">IF('D. Annual Schedule Tables'!O720&gt;0,'D. Annual Schedule Tables'!O720,"")</f>
        <v>0.76258064516129032</v>
      </c>
      <c r="P208" s="111">
        <f t="shared" ca="1" si="21"/>
        <v>0.76258064516129032</v>
      </c>
    </row>
    <row r="209" spans="2:17" ht="16.2" outlineLevel="1" thickBot="1" x14ac:dyDescent="0.35">
      <c r="B209" s="37"/>
      <c r="C209" s="11" t="s">
        <v>164</v>
      </c>
      <c r="D209" s="285"/>
      <c r="E209" s="384"/>
      <c r="F209" s="337">
        <f ca="1">IFERROR(F206*(E202+E203)*(1+E248)^F205,"")</f>
        <v>167944.8</v>
      </c>
      <c r="G209" s="337">
        <f ca="1">IFERROR(G206*(E202+E203)*(1+E248)^G205,"")</f>
        <v>98064.320000000007</v>
      </c>
      <c r="H209" s="337">
        <f ca="1">IFERROR(H206*(E202+E203)*(1+E248)^H205,"")</f>
        <v>33875.338700799999</v>
      </c>
      <c r="I209" s="337">
        <f ca="1">IFERROR(I206*(E202+E203)*(1+E248)^I205,"")</f>
        <v>34417.3441200128</v>
      </c>
      <c r="J209" s="337">
        <f ca="1">IFERROR(J206*(E202+E203)*(1+E248)^J205,"")</f>
        <v>34968.021625933005</v>
      </c>
      <c r="K209" s="337">
        <f ca="1">IFERROR(K206*(E202+E203)*(1+E248)^K205,"")</f>
        <v>37617.36349970958</v>
      </c>
      <c r="L209" s="337">
        <f ca="1">IFERROR(L206*(E202+E203)*(1+E248)^L205,"")</f>
        <v>40342.532499910762</v>
      </c>
      <c r="M209" s="337">
        <f ca="1">IFERROR(M206*(E202+E203)*(1+E248)^M205,"")</f>
        <v>40988.013019909333</v>
      </c>
      <c r="N209" s="337">
        <f ca="1">IFERROR(N206*(E202+E203)*(1+E248)^N205,"")</f>
        <v>41643.821228227884</v>
      </c>
      <c r="O209" s="337">
        <f ca="1">IFERROR(O206*(E202+E203)*(1+E248)^O205,"")</f>
        <v>42310.122367879536</v>
      </c>
      <c r="P209" s="148">
        <f ca="1">SUM(E209:O209)</f>
        <v>572171.67706238281</v>
      </c>
      <c r="Q209" s="754"/>
    </row>
    <row r="211" spans="2:17" ht="16.2" thickBot="1" x14ac:dyDescent="0.35">
      <c r="B211" s="258" t="s">
        <v>342</v>
      </c>
      <c r="C211" s="259"/>
    </row>
    <row r="212" spans="2:17" ht="15.6" outlineLevel="1" x14ac:dyDescent="0.3">
      <c r="B212" s="43"/>
      <c r="C212" s="182"/>
      <c r="E212" s="252" t="s">
        <v>57</v>
      </c>
      <c r="F212" s="20"/>
      <c r="G212" s="20"/>
      <c r="H212" s="97"/>
      <c r="I212" s="97"/>
      <c r="J212" s="97"/>
      <c r="K212" s="97"/>
      <c r="L212" s="97"/>
      <c r="M212" s="97"/>
      <c r="N212" s="97"/>
      <c r="O212" s="97"/>
      <c r="P212" s="250" t="s">
        <v>2</v>
      </c>
    </row>
    <row r="213" spans="2:17" ht="15.6" outlineLevel="1" x14ac:dyDescent="0.3">
      <c r="B213" s="45"/>
      <c r="C213" s="5" t="s">
        <v>700</v>
      </c>
      <c r="D213" s="280" t="b">
        <f>IF(E213&gt;=0,TRUE,FALSE)</f>
        <v>1</v>
      </c>
      <c r="E213" s="93">
        <v>30</v>
      </c>
      <c r="F213" s="20" t="s">
        <v>1104</v>
      </c>
      <c r="G213" s="20"/>
      <c r="H213" s="97"/>
      <c r="I213" s="97"/>
      <c r="J213" s="97"/>
      <c r="K213" s="97"/>
      <c r="L213" s="97"/>
      <c r="M213" s="97"/>
      <c r="N213" s="97"/>
      <c r="O213" s="97"/>
      <c r="P213" s="189">
        <f>E213</f>
        <v>30</v>
      </c>
    </row>
    <row r="214" spans="2:17" ht="15.6" outlineLevel="1" x14ac:dyDescent="0.3">
      <c r="B214" s="45"/>
      <c r="C214" s="5" t="s">
        <v>241</v>
      </c>
      <c r="D214" s="280" t="b">
        <f>IF(E214&gt;=0,TRUE,FALSE)</f>
        <v>1</v>
      </c>
      <c r="E214" s="155">
        <v>5</v>
      </c>
      <c r="F214" s="20"/>
      <c r="G214" s="20"/>
      <c r="H214" s="97"/>
      <c r="I214" s="97"/>
      <c r="J214" s="97"/>
      <c r="K214" s="97"/>
      <c r="L214" s="97"/>
      <c r="M214" s="97"/>
      <c r="N214" s="97"/>
      <c r="O214" s="97"/>
      <c r="P214" s="446">
        <f>E214</f>
        <v>5</v>
      </c>
    </row>
    <row r="215" spans="2:17" ht="15.6" outlineLevel="1" x14ac:dyDescent="0.3">
      <c r="B215" s="45"/>
      <c r="C215" s="5" t="s">
        <v>242</v>
      </c>
      <c r="D215" s="280" t="b">
        <f>IF(E215&gt;=0,TRUE,FALSE)</f>
        <v>1</v>
      </c>
      <c r="E215" s="202">
        <v>16</v>
      </c>
      <c r="F215" s="20" t="s">
        <v>1105</v>
      </c>
      <c r="G215" s="20"/>
      <c r="H215" s="97"/>
      <c r="I215" s="97"/>
      <c r="J215" s="97"/>
      <c r="K215" s="97"/>
      <c r="L215" s="97"/>
      <c r="M215" s="97"/>
      <c r="N215" s="97"/>
      <c r="O215" s="97"/>
      <c r="P215" s="697">
        <f>E215</f>
        <v>16</v>
      </c>
    </row>
    <row r="216" spans="2:17" ht="16.2" outlineLevel="1" thickBot="1" x14ac:dyDescent="0.35">
      <c r="B216" s="187"/>
      <c r="C216" s="11" t="s">
        <v>60</v>
      </c>
      <c r="E216" s="698">
        <f>E214+E215</f>
        <v>21</v>
      </c>
      <c r="F216" s="20"/>
      <c r="G216" s="20"/>
      <c r="H216" s="97"/>
      <c r="I216" s="97"/>
      <c r="J216" s="97"/>
      <c r="K216" s="97"/>
      <c r="L216" s="97"/>
      <c r="M216" s="97"/>
      <c r="N216" s="97"/>
      <c r="O216" s="97"/>
      <c r="P216" s="699">
        <f>E216</f>
        <v>21</v>
      </c>
    </row>
    <row r="217" spans="2:17" ht="15.6" outlineLevel="1" x14ac:dyDescent="0.3">
      <c r="B217" s="45"/>
      <c r="C217" s="166"/>
      <c r="E217" s="242"/>
      <c r="F217" s="243"/>
      <c r="G217" s="243"/>
      <c r="H217" s="243"/>
      <c r="I217" s="243"/>
      <c r="J217" s="242" t="s">
        <v>59</v>
      </c>
      <c r="K217" s="243"/>
      <c r="L217" s="243"/>
      <c r="M217" s="243"/>
      <c r="N217" s="243"/>
      <c r="O217" s="244"/>
    </row>
    <row r="218" spans="2:17" ht="16.2" outlineLevel="1" thickBot="1" x14ac:dyDescent="0.35">
      <c r="B218" s="45"/>
      <c r="C218" s="166"/>
      <c r="E218" s="51">
        <v>0</v>
      </c>
      <c r="F218" s="51">
        <v>1</v>
      </c>
      <c r="G218" s="51">
        <v>2</v>
      </c>
      <c r="H218" s="51">
        <v>3</v>
      </c>
      <c r="I218" s="51">
        <v>4</v>
      </c>
      <c r="J218" s="51">
        <v>5</v>
      </c>
      <c r="K218" s="51">
        <v>6</v>
      </c>
      <c r="L218" s="51">
        <v>7</v>
      </c>
      <c r="M218" s="51">
        <v>8</v>
      </c>
      <c r="N218" s="51">
        <v>9</v>
      </c>
      <c r="O218" s="51">
        <v>10</v>
      </c>
      <c r="P218"/>
    </row>
    <row r="219" spans="2:17" ht="15.6" outlineLevel="1" x14ac:dyDescent="0.3">
      <c r="B219" s="45"/>
      <c r="C219" s="3" t="s">
        <v>701</v>
      </c>
      <c r="D219" s="280" t="b">
        <f ca="1">IF(AND(COUNTIF(E219:O219,"&lt;0")=0,COUNTIF(E219:O219,"&gt;1")=0,COUNT(E219:O219)&gt;=COUNT(E91:O91)),TRUE,FALSE)</f>
        <v>1</v>
      </c>
      <c r="E219" s="8">
        <v>1</v>
      </c>
      <c r="F219" s="8">
        <v>1</v>
      </c>
      <c r="G219" s="8">
        <v>1</v>
      </c>
      <c r="H219" s="8">
        <v>1</v>
      </c>
      <c r="I219" s="8">
        <v>1</v>
      </c>
      <c r="J219" s="8">
        <v>1</v>
      </c>
      <c r="K219" s="8">
        <v>1</v>
      </c>
      <c r="L219" s="8">
        <v>1</v>
      </c>
      <c r="M219" s="8">
        <v>1</v>
      </c>
      <c r="N219" s="8">
        <v>1</v>
      </c>
      <c r="O219" s="8">
        <v>1</v>
      </c>
      <c r="P219" s="146">
        <f>IF(ISNA(INDEX(E219:O219,MATCH(9.99999999999999E+307,E219:O219))),"",INDEX(E219:O219,MATCH(9.99999999999999E+307,E219:O219)))</f>
        <v>1</v>
      </c>
      <c r="Q219" s="754"/>
    </row>
    <row r="220" spans="2:17" ht="16.2" outlineLevel="1" thickBot="1" x14ac:dyDescent="0.35">
      <c r="B220" s="46"/>
      <c r="C220" s="22" t="s">
        <v>793</v>
      </c>
      <c r="E220" s="337">
        <f ca="1">IF('D. Annual Schedule Tables'!E736&gt;0,'D. Annual Schedule Tables'!E736*E216*(1+E248)^E218,"")</f>
        <v>780570</v>
      </c>
      <c r="F220" s="337">
        <f ca="1">IF('D. Annual Schedule Tables'!F736&gt;0,'D. Annual Schedule Tables'!F736*E216*(1+E248)^F218,"")</f>
        <v>812901.6</v>
      </c>
      <c r="G220" s="337">
        <f ca="1">IF('D. Annual Schedule Tables'!G736&gt;0,'D. Annual Schedule Tables'!G736*E216*(1+E248)^G218,"")</f>
        <v>846067.98528000002</v>
      </c>
      <c r="H220" s="337">
        <f ca="1">IF('D. Annual Schedule Tables'!H736&gt;0,'D. Annual Schedule Tables'!H736*E216*(1+E248)^H218,"")</f>
        <v>880087.59207936004</v>
      </c>
      <c r="I220" s="337">
        <f ca="1">IF('D. Annual Schedule Tables'!I736&gt;0,'D. Annual Schedule Tables'!I736*E216*(1+E248)^I218,"")</f>
        <v>915650.5309352756</v>
      </c>
      <c r="J220" s="337">
        <f ca="1">IF('D. Annual Schedule Tables'!J736&gt;0,'D. Annual Schedule Tables'!J736*E216*(1+E248)^J218,"")</f>
        <v>951444.14259910909</v>
      </c>
      <c r="K220" s="337">
        <f ca="1">IF('D. Annual Schedule Tables'!K736&gt;0,'D. Annual Schedule Tables'!K736*E216*(1+E248)^K218,"")</f>
        <v>988148.74330026575</v>
      </c>
      <c r="L220" s="337">
        <f ca="1">IF('D. Annual Schedule Tables'!L736&gt;0,'D. Annual Schedule Tables'!L736*E216*(1+E248)^L218,"")</f>
        <v>1025784.3215233543</v>
      </c>
      <c r="M220" s="337">
        <f ca="1">IF('D. Annual Schedule Tables'!M736&gt;0,'D. Annual Schedule Tables'!M736*E216*(1+E248)^M218,"")</f>
        <v>1065086.5754456052</v>
      </c>
      <c r="N220" s="337">
        <f ca="1">IF('D. Annual Schedule Tables'!N736&gt;0,'D. Annual Schedule Tables'!N736*E216*(1+E248)^N218,"")</f>
        <v>1104657.1525803609</v>
      </c>
      <c r="O220" s="337">
        <f ca="1">IF('D. Annual Schedule Tables'!O736&gt;0,'D. Annual Schedule Tables'!O736*E216*(1+E248)^O218,"")</f>
        <v>1145221.3260201144</v>
      </c>
      <c r="P220" s="148">
        <f ca="1">SUM(E220:O220)</f>
        <v>10515619.969763447</v>
      </c>
    </row>
    <row r="222" spans="2:17" ht="15.6" x14ac:dyDescent="0.3">
      <c r="B222" s="258" t="s">
        <v>343</v>
      </c>
      <c r="C222" s="257"/>
    </row>
    <row r="223" spans="2:17" ht="16.2" outlineLevel="1" thickBot="1" x14ac:dyDescent="0.35">
      <c r="B223" s="43"/>
      <c r="C223" s="25"/>
      <c r="E223" s="268"/>
      <c r="F223" s="243" t="s">
        <v>936</v>
      </c>
      <c r="G223" s="269"/>
      <c r="I223" s="268"/>
      <c r="J223" s="243" t="s">
        <v>938</v>
      </c>
      <c r="K223" s="269"/>
      <c r="M223" s="268"/>
      <c r="N223" s="243" t="s">
        <v>937</v>
      </c>
      <c r="O223" s="269"/>
    </row>
    <row r="224" spans="2:17" ht="28.8" outlineLevel="1" x14ac:dyDescent="0.3">
      <c r="B224" s="342"/>
      <c r="C224" s="162"/>
      <c r="E224" s="40" t="s">
        <v>26</v>
      </c>
      <c r="F224" s="40" t="s">
        <v>27</v>
      </c>
      <c r="G224" s="40" t="s">
        <v>28</v>
      </c>
      <c r="I224" s="35" t="s">
        <v>933</v>
      </c>
      <c r="J224" s="35" t="s">
        <v>939</v>
      </c>
      <c r="K224" s="35" t="s">
        <v>932</v>
      </c>
      <c r="M224" s="40" t="s">
        <v>26</v>
      </c>
      <c r="N224" s="40" t="s">
        <v>27</v>
      </c>
      <c r="O224" s="40" t="s">
        <v>28</v>
      </c>
      <c r="P224" s="250" t="s">
        <v>2</v>
      </c>
    </row>
    <row r="225" spans="2:17" ht="15.6" outlineLevel="1" x14ac:dyDescent="0.3">
      <c r="B225" s="38"/>
      <c r="C225" s="3" t="s">
        <v>934</v>
      </c>
      <c r="D225" s="280" t="b">
        <f>IF(AND(COUNTIF(E225:G225,"&lt;0")=0,AND(J225="Yes",K225&gt;=0,K225&lt;=1)),TRUE,FALSE)</f>
        <v>1</v>
      </c>
      <c r="E225" s="202">
        <v>2.5</v>
      </c>
      <c r="F225" s="202">
        <v>5</v>
      </c>
      <c r="G225" s="202">
        <v>7.5</v>
      </c>
      <c r="I225" s="656">
        <f ca="1">IF(P37&gt;5,1,FORECAST(P37,OFFSET('C. Demographic Tables'!$B$67,MATCH(P5,'C. Demographic Tables'!$B$68:$B$119,0),MATCH(P37,'C. Demographic Tables'!$C$67:$K$67,1)):OFFSET('C. Demographic Tables'!$B$67,MATCH(P5,'C. Demographic Tables'!$B$68:$B$119,0),MATCH(P37,'C. Demographic Tables'!$C$67:$K$67,1)+1),OFFSET('C. Demographic Tables'!$B$67,0,MATCH(P37,'C. Demographic Tables'!$C$67:$K$67,1)):OFFSET('C. Demographic Tables'!$B$67,0,MATCH(P37,'C. Demographic Tables'!$C$67:$K$67,1)+1)))</f>
        <v>0.44750406400116899</v>
      </c>
      <c r="J225" s="656" t="s">
        <v>359</v>
      </c>
      <c r="K225" s="28">
        <v>1</v>
      </c>
      <c r="M225" s="343">
        <f>IF(J225="Yes",E225*K225,E225*I225)</f>
        <v>2.5</v>
      </c>
      <c r="N225" s="343">
        <f>IF(J225="Yes",F225*K225,F225*I225)</f>
        <v>5</v>
      </c>
      <c r="O225" s="343">
        <f>IF(J225="Yes",G225*K225,G225*I225)</f>
        <v>7.5</v>
      </c>
      <c r="P225" s="237">
        <f ca="1">(M225*'D. Annual Schedule Tables'!P21+N225*'D. Annual Schedule Tables'!P22+O225*'D. Annual Schedule Tables'!P23)/SUM('D. Annual Schedule Tables'!P21:P23)</f>
        <v>2.5672877846790891</v>
      </c>
      <c r="Q225" s="754"/>
    </row>
    <row r="226" spans="2:17" ht="15.6" outlineLevel="1" x14ac:dyDescent="0.3">
      <c r="B226" s="38"/>
      <c r="C226" s="3" t="s">
        <v>419</v>
      </c>
      <c r="D226" s="280" t="b">
        <f>IF(COUNTIF(E226:G226,"&lt;0")=0,TRUE,FALSE)</f>
        <v>1</v>
      </c>
      <c r="E226" s="202">
        <v>0.13</v>
      </c>
      <c r="F226" s="202">
        <v>0.26</v>
      </c>
      <c r="G226" s="202">
        <v>0.39</v>
      </c>
      <c r="H226" s="749"/>
      <c r="M226" s="343">
        <f>IF(J225="Yes",E226*K225,E226*I225)</f>
        <v>0.13</v>
      </c>
      <c r="N226" s="343">
        <f>IF(J225="Yes",F226*K225,F226*I225)</f>
        <v>0.26</v>
      </c>
      <c r="O226" s="343">
        <f>IF(J225="Yes",G226*K225,G226*I225)</f>
        <v>0.39</v>
      </c>
      <c r="P226" s="237">
        <f ca="1">(M226*'D. Annual Schedule Tables'!P21+N226*'D. Annual Schedule Tables'!P22+O226*'D. Annual Schedule Tables'!P23)/SUM('D. Annual Schedule Tables'!P21:P23)</f>
        <v>0.13349896480331264</v>
      </c>
    </row>
    <row r="227" spans="2:17" ht="15.6" outlineLevel="1" x14ac:dyDescent="0.3">
      <c r="B227" s="38"/>
      <c r="C227" s="657" t="s">
        <v>935</v>
      </c>
      <c r="E227" s="242"/>
      <c r="F227" s="243"/>
      <c r="G227" s="243"/>
      <c r="H227" s="243"/>
      <c r="I227" s="243"/>
      <c r="J227" s="242" t="s">
        <v>59</v>
      </c>
      <c r="K227" s="243"/>
      <c r="L227" s="243"/>
      <c r="M227" s="243"/>
      <c r="N227" s="243"/>
      <c r="O227" s="244"/>
      <c r="P227" s="85"/>
    </row>
    <row r="228" spans="2:17" ht="16.2" outlineLevel="1" thickBot="1" x14ac:dyDescent="0.35">
      <c r="B228" s="38"/>
      <c r="C228" s="108"/>
      <c r="E228" s="51">
        <v>0</v>
      </c>
      <c r="F228" s="51">
        <v>1</v>
      </c>
      <c r="G228" s="51">
        <v>2</v>
      </c>
      <c r="H228" s="51">
        <v>3</v>
      </c>
      <c r="I228" s="51">
        <v>4</v>
      </c>
      <c r="J228" s="51">
        <v>5</v>
      </c>
      <c r="K228" s="51">
        <v>6</v>
      </c>
      <c r="L228" s="51">
        <v>7</v>
      </c>
      <c r="M228" s="51">
        <v>8</v>
      </c>
      <c r="N228" s="51">
        <v>9</v>
      </c>
      <c r="O228" s="51">
        <v>10</v>
      </c>
      <c r="P228" s="85"/>
    </row>
    <row r="229" spans="2:17" ht="16.2" outlineLevel="1" thickBot="1" x14ac:dyDescent="0.35">
      <c r="B229" s="44"/>
      <c r="C229" s="11" t="s">
        <v>588</v>
      </c>
      <c r="E229" s="343">
        <f ca="1">IFERROR(((M225+M226)*((1+E248)^E228)*'D. Annual Schedule Tables'!E21+(N225+N226)*((1+E248)^E228)*'D. Annual Schedule Tables'!E22+(O225+O226)*((1+E248)^E228)*'D. Annual Schedule Tables'!E23)/SUM('D. Annual Schedule Tables'!E21:E23),"")</f>
        <v>2.7192689295039165</v>
      </c>
      <c r="F229" s="343">
        <f ca="1">IFERROR(((M225+M226)*((1+E248)^F228)*'D. Annual Schedule Tables'!F21+(N225+N226)*((1+E248)^F228)*'D. Annual Schedule Tables'!F22+(O225+O226)*((1+E248)^F228)*'D. Annual Schedule Tables'!F23)/SUM('D. Annual Schedule Tables'!F21:F23),"")</f>
        <v>2.7604694147582696</v>
      </c>
      <c r="G229" s="343">
        <f ca="1">IFERROR(((M225+M226)*((1+E248)^G228)*'D. Annual Schedule Tables'!G21+(N225+N226)*((1+E248)^G228)*'D. Annual Schedule Tables'!G22+(O225+O226)*((1+E248)^G228)*'D. Annual Schedule Tables'!G23)/SUM('D. Annual Schedule Tables'!G21:G23),"")</f>
        <v>2.8024085470967743</v>
      </c>
      <c r="H229" s="343">
        <f ca="1">IFERROR(((M225+M226)*((1+E248)^H228)*'D. Annual Schedule Tables'!H21+(N225+N226)*((1+E248)^H228)*'D. Annual Schedule Tables'!H22+(O225+O226)*((1+E248)^H228)*'D. Annual Schedule Tables'!H23)/SUM('D. Annual Schedule Tables'!H21:H23),"")</f>
        <v>2.8450926898704116</v>
      </c>
      <c r="I229" s="343">
        <f ca="1">IFERROR(((M225+M226)*((1+E248)^I228)*'D. Annual Schedule Tables'!I21+(N225+N226)*((1+E248)^I228)*'D. Annual Schedule Tables'!I22+(O225+O226)*((1+E248)^I228)*'D. Annual Schedule Tables'!I23)/SUM('D. Annual Schedule Tables'!I21:I23),"")</f>
        <v>2.8885288010258638</v>
      </c>
      <c r="J229" s="343">
        <f ca="1">IFERROR(((M225+M226)*((1+E248)^J228)*'D. Annual Schedule Tables'!J21+(N225+N226)*((1+E248)^J228)*'D. Annual Schedule Tables'!J22+(O225+O226)*((1+E248)^J228)*'D. Annual Schedule Tables'!J23)/SUM('D. Annual Schedule Tables'!J21:J23),"")</f>
        <v>2.9327243871890185</v>
      </c>
      <c r="K229" s="343">
        <f ca="1">IFERROR(((M225+M226)*((1+E248)^K228)*'D. Annual Schedule Tables'!K21+(N225+N226)*((1+E248)^K228)*'D. Annual Schedule Tables'!K22+(O225+O226)*((1+E248)^K228)*'D. Annual Schedule Tables'!K23)/SUM('D. Annual Schedule Tables'!K21:K23),"")</f>
        <v>2.9776874643863409</v>
      </c>
      <c r="L229" s="343">
        <f ca="1">IFERROR(((M225+M226)*((1+E248)^L228)*'D. Annual Schedule Tables'!L21+(N225+N226)*((1+E248)^L228)*'D. Annual Schedule Tables'!L22+(O225+O226)*((1+E248)^L228)*'D. Annual Schedule Tables'!L23)/SUM('D. Annual Schedule Tables'!L21:L23),"")</f>
        <v>3.0234265243859428</v>
      </c>
      <c r="M229" s="343">
        <f ca="1">IFERROR(((M225+M226)*((1+E248)^M228)*'D. Annual Schedule Tables'!M21+(N225+N226)*((1+E248)^M228)*'D. Annual Schedule Tables'!M22+(O225+O226)*((1+E248)^M228)*'D. Annual Schedule Tables'!M23)/SUM('D. Annual Schedule Tables'!M21:M23),"")</f>
        <v>3.0699505058162231</v>
      </c>
      <c r="N229" s="343">
        <f ca="1">IFERROR(((M225+M226)*((1+E248)^N228)*'D. Annual Schedule Tables'!N21+(N225+N226)*((1+E248)^N228)*'D. Annual Schedule Tables'!N22+(O225+O226)*((1+E248)^N228)*'D. Annual Schedule Tables'!N23)/SUM('D. Annual Schedule Tables'!N21:N23),"")</f>
        <v>3.117268769362548</v>
      </c>
      <c r="O229" s="343">
        <f ca="1">IFERROR(((M225+M226)*((1+E248)^O228)*'D. Annual Schedule Tables'!O21+(N225+N226)*((1+E248)^O228)*'D. Annual Schedule Tables'!O22+(O225+O226)*((1+E248)^O228)*'D. Annual Schedule Tables'!O23)/SUM('D. Annual Schedule Tables'!O21:O23),"")</f>
        <v>3.1653910764583939</v>
      </c>
      <c r="P229" s="401">
        <f ca="1">IF(ISNA(INDEX(E229:O229,MATCH(9.99999999999999E+307,E229:O229))),"",INDEX(E229:O229,MATCH(9.99999999999999E+307,E229:O229)))</f>
        <v>3.1653910764583939</v>
      </c>
    </row>
    <row r="231" spans="2:17" ht="15.6" x14ac:dyDescent="0.3">
      <c r="B231" s="260" t="s">
        <v>338</v>
      </c>
      <c r="C231" s="261"/>
    </row>
    <row r="232" spans="2:17" ht="16.2" outlineLevel="1" thickBot="1" x14ac:dyDescent="0.35">
      <c r="B232" s="186" t="s">
        <v>55</v>
      </c>
      <c r="C232" s="185"/>
      <c r="E232" s="268"/>
      <c r="F232" s="242" t="s">
        <v>58</v>
      </c>
      <c r="G232" s="269"/>
      <c r="I232" s="246"/>
      <c r="J232" s="272" t="s">
        <v>58</v>
      </c>
      <c r="K232" s="249"/>
    </row>
    <row r="233" spans="2:17" ht="15.45" customHeight="1" outlineLevel="1" x14ac:dyDescent="0.3">
      <c r="B233" s="183"/>
      <c r="C233" s="184"/>
      <c r="E233" s="180"/>
      <c r="F233" s="57" t="s">
        <v>165</v>
      </c>
      <c r="G233" s="181"/>
      <c r="I233" s="56"/>
      <c r="J233" s="57" t="s">
        <v>587</v>
      </c>
      <c r="K233" s="58"/>
      <c r="P233" s="780" t="s">
        <v>2</v>
      </c>
    </row>
    <row r="234" spans="2:17" ht="43.95" customHeight="1" outlineLevel="1" x14ac:dyDescent="0.3">
      <c r="B234" s="186"/>
      <c r="C234" s="185"/>
      <c r="E234" s="35" t="s">
        <v>18</v>
      </c>
      <c r="F234" s="35" t="s">
        <v>20</v>
      </c>
      <c r="G234" s="35" t="s">
        <v>19</v>
      </c>
      <c r="I234" s="40" t="s">
        <v>18</v>
      </c>
      <c r="J234" s="40" t="s">
        <v>20</v>
      </c>
      <c r="K234" s="40" t="s">
        <v>19</v>
      </c>
      <c r="P234" s="781"/>
    </row>
    <row r="235" spans="2:17" outlineLevel="1" x14ac:dyDescent="0.3">
      <c r="B235" s="26"/>
      <c r="C235" s="7" t="s">
        <v>62</v>
      </c>
      <c r="D235" s="280" t="b">
        <f>IF(AND(COUNTIF(E235:G235,"&lt;0")=0,COUNTIF(I235:K235,"&lt;0")=0,COUNTIF(I235:K235,"&gt;1")=0),TRUE,FALSE)</f>
        <v>1</v>
      </c>
      <c r="E235" s="155">
        <v>25</v>
      </c>
      <c r="F235" s="155">
        <v>10</v>
      </c>
      <c r="G235" s="155">
        <v>25</v>
      </c>
      <c r="H235" s="4"/>
      <c r="I235" s="89">
        <v>0</v>
      </c>
      <c r="J235" s="89">
        <v>1</v>
      </c>
      <c r="K235" s="89"/>
      <c r="P235" s="444">
        <f>IFERROR(SUMPRODUCT(E235:G235,I235:K235)/COUNTIF(I235:K235,"&gt;0"),0)</f>
        <v>10</v>
      </c>
    </row>
    <row r="236" spans="2:17" outlineLevel="1" x14ac:dyDescent="0.3">
      <c r="B236" s="26"/>
      <c r="C236" s="7" t="s">
        <v>63</v>
      </c>
      <c r="D236" s="280" t="b">
        <f>IF(AND(COUNTIF(E236:G236,"&lt;0")=0,COUNTIF(I236:K236,"&lt;0")=0,COUNTIF(I236:K236,"&gt;1")=0),TRUE,FALSE)</f>
        <v>1</v>
      </c>
      <c r="E236" s="155">
        <v>30</v>
      </c>
      <c r="F236" s="155">
        <v>15</v>
      </c>
      <c r="G236" s="155">
        <v>30</v>
      </c>
      <c r="H236" s="4"/>
      <c r="I236" s="89">
        <v>0</v>
      </c>
      <c r="J236" s="89">
        <v>1</v>
      </c>
      <c r="K236" s="89"/>
      <c r="P236" s="444">
        <f>IFERROR(SUMPRODUCT(E236:G236,I236:K236)/COUNTIF(I236:K236,"&gt;0"),0)</f>
        <v>15</v>
      </c>
    </row>
    <row r="237" spans="2:17" outlineLevel="1" x14ac:dyDescent="0.3">
      <c r="B237" s="26"/>
      <c r="C237" s="7" t="s">
        <v>64</v>
      </c>
      <c r="D237" s="280" t="b">
        <f>IF(AND(COUNTIF(E237:G237,"&lt;0")=0,COUNTIF(I237:K237,"&lt;0")=0,COUNTIF(I237:K237,"&gt;1")=0),TRUE,FALSE)</f>
        <v>1</v>
      </c>
      <c r="E237" s="155">
        <v>40</v>
      </c>
      <c r="F237" s="155">
        <v>0</v>
      </c>
      <c r="G237" s="155">
        <v>0</v>
      </c>
      <c r="H237" s="4"/>
      <c r="I237" s="89">
        <v>0</v>
      </c>
      <c r="J237" s="89">
        <v>1</v>
      </c>
      <c r="K237" s="89"/>
      <c r="P237" s="444">
        <f>IFERROR(SUMPRODUCT(E237:G237,I237:K237)/COUNTIF(I237:K237,"&gt;0"),0)</f>
        <v>0</v>
      </c>
    </row>
    <row r="238" spans="2:17" outlineLevel="1" x14ac:dyDescent="0.3">
      <c r="B238" s="26"/>
      <c r="C238" s="7" t="s">
        <v>66</v>
      </c>
      <c r="D238" s="280" t="b">
        <f>IF(AND(COUNTIF(E238:G238,"&lt;0")=0,COUNTIF(I238:K238,"&lt;0")=0,COUNTIF(I238:K238,"&gt;1")=0),TRUE,FALSE)</f>
        <v>1</v>
      </c>
      <c r="E238" s="155">
        <v>10</v>
      </c>
      <c r="F238" s="155">
        <v>5</v>
      </c>
      <c r="G238" s="155">
        <v>10</v>
      </c>
      <c r="H238" s="4"/>
      <c r="I238" s="89">
        <v>0</v>
      </c>
      <c r="J238" s="89">
        <v>1</v>
      </c>
      <c r="K238" s="89"/>
      <c r="P238" s="444">
        <f>IFERROR(SUMPRODUCT(E238:G238,I238:K238)/COUNTIF(I238:K238,"&gt;0"),0)</f>
        <v>5</v>
      </c>
    </row>
    <row r="239" spans="2:17" ht="15" outlineLevel="1" thickBot="1" x14ac:dyDescent="0.35">
      <c r="B239" s="26"/>
      <c r="C239" s="11" t="s">
        <v>719</v>
      </c>
      <c r="E239" s="188">
        <f>SUMPRODUCT(E235:E238,I235:I238)</f>
        <v>0</v>
      </c>
      <c r="F239" s="188">
        <f>SUMPRODUCT(F235:F238,J235:J238)</f>
        <v>30</v>
      </c>
      <c r="G239" s="188">
        <f>SUMPRODUCT(G235:G238,K235:K238)</f>
        <v>0</v>
      </c>
      <c r="P239" s="445">
        <f>SUM(P235:P238)</f>
        <v>30</v>
      </c>
    </row>
    <row r="240" spans="2:17" outlineLevel="1" x14ac:dyDescent="0.3">
      <c r="B240" s="26"/>
      <c r="C240" s="107"/>
      <c r="E240" s="242"/>
      <c r="F240" s="243"/>
      <c r="G240" s="243"/>
      <c r="H240" s="243"/>
      <c r="I240" s="243"/>
      <c r="J240" s="242" t="s">
        <v>59</v>
      </c>
      <c r="K240" s="243"/>
      <c r="L240" s="243"/>
      <c r="M240" s="243"/>
      <c r="N240" s="243"/>
      <c r="O240" s="244"/>
      <c r="P240" s="85"/>
    </row>
    <row r="241" spans="1:17" ht="15" outlineLevel="1" thickBot="1" x14ac:dyDescent="0.35">
      <c r="B241" s="26"/>
      <c r="C241" s="108"/>
      <c r="E241" s="51">
        <v>0</v>
      </c>
      <c r="F241" s="51">
        <v>1</v>
      </c>
      <c r="G241" s="51">
        <v>2</v>
      </c>
      <c r="H241" s="51">
        <v>3</v>
      </c>
      <c r="I241" s="51">
        <v>4</v>
      </c>
      <c r="J241" s="51">
        <v>5</v>
      </c>
      <c r="K241" s="51">
        <v>6</v>
      </c>
      <c r="L241" s="51">
        <v>7</v>
      </c>
      <c r="M241" s="51">
        <v>8</v>
      </c>
      <c r="N241" s="51">
        <v>9</v>
      </c>
      <c r="O241" s="51">
        <v>10</v>
      </c>
      <c r="P241" s="85"/>
    </row>
    <row r="242" spans="1:17" ht="15" outlineLevel="1" thickBot="1" x14ac:dyDescent="0.35">
      <c r="B242" s="27"/>
      <c r="C242" s="11" t="s">
        <v>589</v>
      </c>
      <c r="E242" s="400">
        <f ca="1">IF('D. Annual Schedule Tables'!E20&gt;0,'D. Annual Schedule Tables'!E11*E239*(1+E248)^E241+'D. Annual Schedule Tables'!E15*F239*(1+E248)^E241+'D. Annual Schedule Tables'!E19*G239*(1+E248)^E241,"")</f>
        <v>574500</v>
      </c>
      <c r="F242" s="400">
        <f ca="1">IF('D. Annual Schedule Tables'!F20&gt;0,'D. Annual Schedule Tables'!F11*E239*(1+E248)^F241+'D. Annual Schedule Tables'!F15*F239*(1+E248)^F241+'D. Annual Schedule Tables'!F19*G239*(1+E248)^F241,"")</f>
        <v>598932</v>
      </c>
      <c r="G242" s="400">
        <f ca="1">IF('D. Annual Schedule Tables'!G20&gt;0,'D. Annual Schedule Tables'!G11*E239*(1+E248)^G241+'D. Annual Schedule Tables'!G15*F239*(1+E248)^G241+'D. Annual Schedule Tables'!G19*G239*(1+E248)^G241,"")</f>
        <v>623998.75200000009</v>
      </c>
      <c r="H242" s="400">
        <f ca="1">IF('D. Annual Schedule Tables'!H20&gt;0,'D. Annual Schedule Tables'!H11*E239*(1+E248)^H241+'D. Annual Schedule Tables'!H15*F239*(1+E248)^H241+'D. Annual Schedule Tables'!H19*G239*(1+E248)^H241,"")</f>
        <v>649714.31347199995</v>
      </c>
      <c r="I242" s="400">
        <f ca="1">IF('D. Annual Schedule Tables'!I20&gt;0,'D. Annual Schedule Tables'!I11*E239*(1+E248)^I241+'D. Annual Schedule Tables'!I15*F239*(1+E248)^I241+'D. Annual Schedule Tables'!I19*G239*(1+E248)^I241,"")</f>
        <v>676093.02923059207</v>
      </c>
      <c r="J242" s="400">
        <f ca="1">IF('D. Annual Schedule Tables'!J20&gt;0,'D. Annual Schedule Tables'!J11*E239*(1+E248)^J241+'D. Annual Schedule Tables'!J15*F239*(1+E248)^J241+'D. Annual Schedule Tables'!J19*G239*(1+E248)^J241,"")</f>
        <v>703149.53702921013</v>
      </c>
      <c r="K242" s="400">
        <f ca="1">IF('D. Annual Schedule Tables'!K20&gt;0,'D. Annual Schedule Tables'!K11*E239*(1+E248)^K241+'D. Annual Schedule Tables'!K15*F239*(1+E248)^K241+'D. Annual Schedule Tables'!K19*G239*(1+E248)^K241,"")</f>
        <v>730898.77326190099</v>
      </c>
      <c r="L242" s="400">
        <f ca="1">IF('D. Annual Schedule Tables'!L20&gt;0,'D. Annual Schedule Tables'!L11*E239*(1+E248)^L241+'D. Annual Schedule Tables'!L15*F239*(1+E248)^L241+'D. Annual Schedule Tables'!L19*G239*(1+E248)^L241,"")</f>
        <v>759355.9787725585</v>
      </c>
      <c r="M242" s="400">
        <f ca="1">IF('D. Annual Schedule Tables'!M20&gt;0,'D. Annual Schedule Tables'!M11*E239*(1+E248)^M241+'D. Annual Schedule Tables'!M15*F239*(1+E248)^M241+'D. Annual Schedule Tables'!M19*G239*(1+E248)^M241,"")</f>
        <v>788536.70477360208</v>
      </c>
      <c r="N242" s="400">
        <f ca="1">IF('D. Annual Schedule Tables'!N20&gt;0,'D. Annual Schedule Tables'!N11*E239*(1+E248)^N241+'D. Annual Schedule Tables'!N15*F239*(1+E248)^N241+'D. Annual Schedule Tables'!N19*G239*(1+E248)^N241,"")</f>
        <v>818456.81887611316</v>
      </c>
      <c r="O242" s="400">
        <f ca="1">IF('D. Annual Schedule Tables'!O20&gt;0,'D. Annual Schedule Tables'!O11*E239*(1+E248)^O241+'D. Annual Schedule Tables'!O15*F239*(1+E248)^O241+'D. Annual Schedule Tables'!O19*G239*(1+E248)^O241,"")</f>
        <v>849132.51123348263</v>
      </c>
      <c r="P242" s="349">
        <f ca="1">SUM(E242:O242)</f>
        <v>7772768.4186494593</v>
      </c>
      <c r="Q242" s="754" t="s">
        <v>1100</v>
      </c>
    </row>
    <row r="244" spans="1:17" ht="18" x14ac:dyDescent="0.35">
      <c r="A244" s="239" t="s">
        <v>308</v>
      </c>
      <c r="B244" s="265"/>
      <c r="C244" s="241"/>
    </row>
    <row r="246" spans="1:17" ht="16.2" thickBot="1" x14ac:dyDescent="0.35">
      <c r="B246" s="262" t="s">
        <v>315</v>
      </c>
      <c r="C246" s="263"/>
    </row>
    <row r="247" spans="1:17" ht="14.55" customHeight="1" outlineLevel="1" x14ac:dyDescent="0.35">
      <c r="A247" s="17"/>
      <c r="B247" s="26"/>
      <c r="C247" s="162"/>
      <c r="E247" s="252" t="s">
        <v>57</v>
      </c>
      <c r="P247" s="250" t="s">
        <v>2</v>
      </c>
    </row>
    <row r="248" spans="1:17" ht="14.55" customHeight="1" outlineLevel="1" thickBot="1" x14ac:dyDescent="0.4">
      <c r="A248" s="17"/>
      <c r="B248" s="226"/>
      <c r="C248" s="7" t="s">
        <v>566</v>
      </c>
      <c r="D248" s="280" t="b">
        <f>IF(E248&gt;=0,TRUE,FALSE)</f>
        <v>1</v>
      </c>
      <c r="E248" s="170">
        <v>1.6E-2</v>
      </c>
      <c r="P248" s="109">
        <f>E248</f>
        <v>1.6E-2</v>
      </c>
    </row>
    <row r="250" spans="1:17" ht="16.2" thickBot="1" x14ac:dyDescent="0.35">
      <c r="B250" s="253" t="s">
        <v>316</v>
      </c>
      <c r="C250" s="254"/>
      <c r="E250" s="19"/>
    </row>
    <row r="251" spans="1:17" outlineLevel="1" x14ac:dyDescent="0.3">
      <c r="B251" s="26"/>
      <c r="C251" s="162"/>
      <c r="E251" s="252" t="s">
        <v>57</v>
      </c>
      <c r="P251" s="658" t="s">
        <v>2</v>
      </c>
    </row>
    <row r="252" spans="1:17" ht="15" outlineLevel="1" thickBot="1" x14ac:dyDescent="0.35">
      <c r="B252" s="26"/>
      <c r="C252" s="7" t="s">
        <v>999</v>
      </c>
      <c r="D252" s="280" t="b">
        <f>IF(OR(AND(E252&gt;=0,N252="No"),N252="Yes"),TRUE,FALSE)</f>
        <v>1</v>
      </c>
      <c r="E252" s="155">
        <v>50</v>
      </c>
      <c r="F252" s="708"/>
      <c r="M252" s="308" t="s">
        <v>1000</v>
      </c>
      <c r="N252" s="307" t="s">
        <v>686</v>
      </c>
      <c r="P252" s="706">
        <f>IF(N252="Yes","-",E252)</f>
        <v>50</v>
      </c>
    </row>
    <row r="253" spans="1:17" outlineLevel="1" x14ac:dyDescent="0.3">
      <c r="B253" s="26"/>
      <c r="C253" s="162"/>
    </row>
    <row r="254" spans="1:17" outlineLevel="1" x14ac:dyDescent="0.3">
      <c r="B254" s="26"/>
      <c r="C254" s="162"/>
      <c r="E254" s="242"/>
      <c r="F254" s="243"/>
      <c r="G254" s="243"/>
      <c r="H254" s="243"/>
      <c r="I254" s="243"/>
      <c r="J254" s="242" t="s">
        <v>59</v>
      </c>
      <c r="K254" s="243"/>
      <c r="L254" s="243"/>
      <c r="M254" s="243"/>
      <c r="N254" s="243"/>
      <c r="O254" s="244"/>
    </row>
    <row r="255" spans="1:17" ht="15" outlineLevel="1" thickBot="1" x14ac:dyDescent="0.35">
      <c r="B255" s="26"/>
      <c r="C255" s="162"/>
      <c r="E255" s="51">
        <v>0</v>
      </c>
      <c r="F255" s="51">
        <v>1</v>
      </c>
      <c r="G255" s="51">
        <v>2</v>
      </c>
      <c r="H255" s="51">
        <v>3</v>
      </c>
      <c r="I255" s="51">
        <v>4</v>
      </c>
      <c r="J255" s="51">
        <v>5</v>
      </c>
      <c r="K255" s="51">
        <v>6</v>
      </c>
      <c r="L255" s="51">
        <v>7</v>
      </c>
      <c r="M255" s="51">
        <v>8</v>
      </c>
      <c r="N255" s="51">
        <v>9</v>
      </c>
      <c r="O255" s="51">
        <v>10</v>
      </c>
      <c r="P255"/>
    </row>
    <row r="256" spans="1:17" outlineLevel="1" x14ac:dyDescent="0.3">
      <c r="B256" s="26"/>
      <c r="C256" s="3" t="s">
        <v>998</v>
      </c>
      <c r="D256" s="280" t="b">
        <f ca="1">IF(OR(N252="No",AND(N252="Yes",COUNT(E256:O256)&gt;=COUNT(E258:O258),COUNTIF(E256:O256,"&lt;0")=0)),TRUE,FALSE)</f>
        <v>1</v>
      </c>
      <c r="E256" s="151"/>
      <c r="F256" s="151"/>
      <c r="G256" s="151"/>
      <c r="H256" s="151"/>
      <c r="I256" s="151"/>
      <c r="J256" s="151"/>
      <c r="K256" s="151"/>
      <c r="L256" s="151"/>
      <c r="M256" s="151"/>
      <c r="N256" s="151"/>
      <c r="O256" s="169"/>
      <c r="P256" s="705" t="str">
        <f>IF(N252="yes",SUMPRODUCT(E256:O256,E258:O258)/SUM(E258:O258),"-")</f>
        <v>-</v>
      </c>
    </row>
    <row r="257" spans="2:17" outlineLevel="1" x14ac:dyDescent="0.3">
      <c r="B257" s="26"/>
      <c r="C257" s="7" t="s">
        <v>997</v>
      </c>
      <c r="E257" s="707">
        <f ca="1">IF('D. Annual Schedule Tables'!E20&gt;0,IF(N252="No",P252*(1+P248)^E255,E256),"")</f>
        <v>50</v>
      </c>
      <c r="F257" s="707">
        <f ca="1">IF('D. Annual Schedule Tables'!F20&gt;0,IF(N252="No",P252*(1+P248)^F255,F256),"")</f>
        <v>50.8</v>
      </c>
      <c r="G257" s="707">
        <f ca="1">IF('D. Annual Schedule Tables'!G20&gt;0,IF(N252="No",P252*(1+P248)^G255,G256),"")</f>
        <v>51.6128</v>
      </c>
      <c r="H257" s="707">
        <f ca="1">IF('D. Annual Schedule Tables'!H20&gt;0,IF(N252="No",P252*(1+P248)^H255,H256),"")</f>
        <v>52.4386048</v>
      </c>
      <c r="I257" s="707">
        <f ca="1">IF('D. Annual Schedule Tables'!I20&gt;0,IF(N252="No",P252*(1+P248)^I255,I256),"")</f>
        <v>53.277622476800005</v>
      </c>
      <c r="J257" s="707">
        <f ca="1">IF('D. Annual Schedule Tables'!J20&gt;0,IF(N252="No",P252*(1+P248)^J255,J256),"")</f>
        <v>54.130064436428803</v>
      </c>
      <c r="K257" s="707">
        <f ca="1">IF('D. Annual Schedule Tables'!K20&gt;0,IF(N252="No",P252*(1+P248)^K255,K256),"")</f>
        <v>54.996145467411658</v>
      </c>
      <c r="L257" s="707">
        <f ca="1">IF('D. Annual Schedule Tables'!L20&gt;0,IF(N252="No",P252*(1+P248)^L255,L256),"")</f>
        <v>55.876083794890249</v>
      </c>
      <c r="M257" s="707">
        <f ca="1">IF('D. Annual Schedule Tables'!M20&gt;0,IF(N252="No",P252*(1+P248)^M255,M256),"")</f>
        <v>56.770101135608499</v>
      </c>
      <c r="N257" s="707">
        <f ca="1">IF('D. Annual Schedule Tables'!N20&gt;0,IF(N252="No",P252*(1+P248)^N255,N256),"")</f>
        <v>57.678422753778236</v>
      </c>
      <c r="O257" s="707">
        <f ca="1">IF('D. Annual Schedule Tables'!O20&gt;0,IF(N252="No",P252*(1+P248)^O255,O256),"")</f>
        <v>58.601277517838689</v>
      </c>
      <c r="P257" s="443">
        <f ca="1">SUMPRODUCT(E257:O257,E258:O258)/SUM(E258:O258)</f>
        <v>54.396867650986501</v>
      </c>
    </row>
    <row r="258" spans="2:17" outlineLevel="1" x14ac:dyDescent="0.3">
      <c r="B258" s="26"/>
      <c r="C258" s="11" t="s">
        <v>172</v>
      </c>
      <c r="E258" s="167">
        <f ca="1">IF('D. Annual Schedule Tables'!E20&gt;0,'D. Annual Schedule Tables'!E20,"")</f>
        <v>19150</v>
      </c>
      <c r="F258" s="167">
        <f ca="1">IF('D. Annual Schedule Tables'!F20&gt;0,'D. Annual Schedule Tables'!F20,"")</f>
        <v>19650</v>
      </c>
      <c r="G258" s="167">
        <f ca="1">IF('D. Annual Schedule Tables'!G20&gt;0,'D. Annual Schedule Tables'!G20,"")</f>
        <v>20150</v>
      </c>
      <c r="H258" s="167">
        <f ca="1">IF('D. Annual Schedule Tables'!H20&gt;0,'D. Annual Schedule Tables'!H20,"")</f>
        <v>20650</v>
      </c>
      <c r="I258" s="167">
        <f ca="1">IF('D. Annual Schedule Tables'!I20&gt;0,'D. Annual Schedule Tables'!I20,"")</f>
        <v>21150</v>
      </c>
      <c r="J258" s="167">
        <f ca="1">IF('D. Annual Schedule Tables'!J20&gt;0,'D. Annual Schedule Tables'!J20,"")</f>
        <v>21650</v>
      </c>
      <c r="K258" s="167">
        <f ca="1">IF('D. Annual Schedule Tables'!K20&gt;0,'D. Annual Schedule Tables'!K20,"")</f>
        <v>22150</v>
      </c>
      <c r="L258" s="167">
        <f ca="1">IF('D. Annual Schedule Tables'!L20&gt;0,'D. Annual Schedule Tables'!L20,"")</f>
        <v>22650</v>
      </c>
      <c r="M258" s="167">
        <f ca="1">IF('D. Annual Schedule Tables'!M20&gt;0,'D. Annual Schedule Tables'!M20,"")</f>
        <v>23150</v>
      </c>
      <c r="N258" s="167">
        <f ca="1">IF('D. Annual Schedule Tables'!N20&gt;0,'D. Annual Schedule Tables'!N20,"")</f>
        <v>23650</v>
      </c>
      <c r="O258" s="167">
        <f ca="1">IF('D. Annual Schedule Tables'!O20&gt;0,'D. Annual Schedule Tables'!O20,"")</f>
        <v>24150</v>
      </c>
      <c r="P258" s="116">
        <f ca="1">IF(ISNA(INDEX(E258:O258,MATCH(9.99999999999999E+307,E258:O258))),"",INDEX(E258:O258,MATCH(9.99999999999999E+307,E258:O258)))</f>
        <v>24150</v>
      </c>
    </row>
    <row r="259" spans="2:17" outlineLevel="1" x14ac:dyDescent="0.3">
      <c r="B259" s="26"/>
      <c r="C259" s="59" t="s">
        <v>173</v>
      </c>
      <c r="E259" s="399">
        <f ca="1">IF('E. State-Level Infrastr&amp;Support'!E12&gt;0,'E. State-Level Infrastr&amp;Support'!E12,"")</f>
        <v>957500</v>
      </c>
      <c r="F259" s="399">
        <f ca="1">IF('E. State-Level Infrastr&amp;Support'!F12&gt;0,'E. State-Level Infrastr&amp;Support'!F12,"")</f>
        <v>998220</v>
      </c>
      <c r="G259" s="399">
        <f ca="1">IF('E. State-Level Infrastr&amp;Support'!G12&gt;0,'E. State-Level Infrastr&amp;Support'!G12,"")</f>
        <v>1039997.92</v>
      </c>
      <c r="H259" s="399">
        <f ca="1">IF('E. State-Level Infrastr&amp;Support'!H12&gt;0,'E. State-Level Infrastr&amp;Support'!H12,"")</f>
        <v>1082857.18912</v>
      </c>
      <c r="I259" s="399">
        <f ca="1">IF('E. State-Level Infrastr&amp;Support'!I12&gt;0,'E. State-Level Infrastr&amp;Support'!I12,"")</f>
        <v>1126821.7153843201</v>
      </c>
      <c r="J259" s="399">
        <f ca="1">IF('E. State-Level Infrastr&amp;Support'!J12&gt;0,'E. State-Level Infrastr&amp;Support'!J12,"")</f>
        <v>1171915.8950486835</v>
      </c>
      <c r="K259" s="399">
        <f ca="1">IF('E. State-Level Infrastr&amp;Support'!K12&gt;0,'E. State-Level Infrastr&amp;Support'!K12,"")</f>
        <v>1218164.6221031682</v>
      </c>
      <c r="L259" s="399">
        <f ca="1">IF('E. State-Level Infrastr&amp;Support'!L12&gt;0,'E. State-Level Infrastr&amp;Support'!L12,"")</f>
        <v>1265593.2979542641</v>
      </c>
      <c r="M259" s="399">
        <f ca="1">IF('E. State-Level Infrastr&amp;Support'!M12&gt;0,'E. State-Level Infrastr&amp;Support'!M12,"")</f>
        <v>1314227.8412893368</v>
      </c>
      <c r="N259" s="399">
        <f ca="1">IF('E. State-Level Infrastr&amp;Support'!N12&gt;0,'E. State-Level Infrastr&amp;Support'!N12,"")</f>
        <v>1364094.6981268553</v>
      </c>
      <c r="O259" s="399">
        <f ca="1">IF('E. State-Level Infrastr&amp;Support'!O12&gt;0,'E. State-Level Infrastr&amp;Support'!O12,"")</f>
        <v>1415220.8520558043</v>
      </c>
      <c r="P259" s="194">
        <f ca="1">SUM(E259:O259)</f>
        <v>12954614.031082435</v>
      </c>
    </row>
    <row r="260" spans="2:17" ht="15" outlineLevel="1" thickBot="1" x14ac:dyDescent="0.35">
      <c r="B260" s="27"/>
      <c r="C260" s="7" t="s">
        <v>187</v>
      </c>
      <c r="E260" s="424">
        <f ca="1">IF(ISERR(E259/'E. State-Level Infrastr&amp;Support'!E37),"",IF(E259/'E. State-Level Infrastr&amp;Support'!E37&gt;0,E259/'E. State-Level Infrastr&amp;Support'!E37,""))</f>
        <v>0.27405793291700531</v>
      </c>
      <c r="F260" s="424">
        <f ca="1">IF(ISERR(F259/'E. State-Level Infrastr&amp;Support'!F37),"",IF(F259/'E. State-Level Infrastr&amp;Support'!F37&gt;0,F259/'E. State-Level Infrastr&amp;Support'!F37,""))</f>
        <v>0.25130987703105445</v>
      </c>
      <c r="G260" s="424">
        <f ca="1">IF(ISERR(G259/'E. State-Level Infrastr&amp;Support'!G37),"",IF(G259/'E. State-Level Infrastr&amp;Support'!G37&gt;0,G259/'E. State-Level Infrastr&amp;Support'!G37,""))</f>
        <v>0.2269657554828467</v>
      </c>
      <c r="H260" s="424">
        <f ca="1">IF(ISERR(H259/'E. State-Level Infrastr&amp;Support'!H37),"",IF(H259/'E. State-Level Infrastr&amp;Support'!H37&gt;0,H259/'E. State-Level Infrastr&amp;Support'!H37,""))</f>
        <v>0.24401464746660106</v>
      </c>
      <c r="I260" s="424">
        <f ca="1">IF(ISERR(I259/'E. State-Level Infrastr&amp;Support'!I37),"",IF(I259/'E. State-Level Infrastr&amp;Support'!I37&gt;0,I259/'E. State-Level Infrastr&amp;Support'!I37,""))</f>
        <v>0.2401376858625652</v>
      </c>
      <c r="J260" s="424">
        <f ca="1">IF(ISERR(J259/'E. State-Level Infrastr&amp;Support'!J37),"",IF(J259/'E. State-Level Infrastr&amp;Support'!J37&gt;0,J259/'E. State-Level Infrastr&amp;Support'!J37,""))</f>
        <v>0.24251746276458119</v>
      </c>
      <c r="K260" s="424">
        <f ca="1">IF(ISERR(K259/'E. State-Level Infrastr&amp;Support'!K37),"",IF(K259/'E. State-Level Infrastr&amp;Support'!K37&gt;0,K259/'E. State-Level Infrastr&amp;Support'!K37,""))</f>
        <v>0.24428171300150614</v>
      </c>
      <c r="L260" s="424">
        <f ca="1">IF(ISERR(L259/'E. State-Level Infrastr&amp;Support'!L37),"",IF(L259/'E. State-Level Infrastr&amp;Support'!L37&gt;0,L259/'E. State-Level Infrastr&amp;Support'!L37,""))</f>
        <v>0.24625066016562022</v>
      </c>
      <c r="M260" s="424">
        <f ca="1">IF(ISERR(M259/'E. State-Level Infrastr&amp;Support'!M37),"",IF(M259/'E. State-Level Infrastr&amp;Support'!M37&gt;0,M259/'E. State-Level Infrastr&amp;Support'!M37,""))</f>
        <v>0.24813647500439337</v>
      </c>
      <c r="N260" s="424">
        <f ca="1">IF(ISERR(N259/'E. State-Level Infrastr&amp;Support'!N37),"",IF(N259/'E. State-Level Infrastr&amp;Support'!N37&gt;0,N259/'E. State-Level Infrastr&amp;Support'!N37,""))</f>
        <v>0.25606246328884452</v>
      </c>
      <c r="O260" s="424">
        <f ca="1">IF(ISERR(O259/'E. State-Level Infrastr&amp;Support'!O37),"",IF(O259/'E. State-Level Infrastr&amp;Support'!O37&gt;0,O259/'E. State-Level Infrastr&amp;Support'!O37,""))</f>
        <v>0.25201904242996409</v>
      </c>
      <c r="P260" s="190">
        <f ca="1">IF(ISERR(P259/'E. State-Level Infrastr&amp;Support'!P37),"",IF(P259/'E. State-Level Infrastr&amp;Support'!P37&gt;0,P259/'E. State-Level Infrastr&amp;Support'!P37,""))</f>
        <v>0.24734020314798014</v>
      </c>
    </row>
    <row r="261" spans="2:17" x14ac:dyDescent="0.3">
      <c r="B261" s="19"/>
      <c r="C261" s="159"/>
      <c r="E261" s="191"/>
      <c r="F261" s="191"/>
      <c r="G261" s="191"/>
      <c r="H261" s="191"/>
      <c r="I261" s="191"/>
      <c r="J261" s="191"/>
      <c r="K261" s="191"/>
      <c r="L261" s="191"/>
      <c r="M261" s="191"/>
      <c r="N261" s="191"/>
      <c r="O261" s="191"/>
      <c r="P261" s="192"/>
    </row>
    <row r="262" spans="2:17" ht="15.6" x14ac:dyDescent="0.3">
      <c r="B262" s="253" t="s">
        <v>317</v>
      </c>
      <c r="C262" s="264"/>
      <c r="E262" s="191"/>
      <c r="F262" s="191"/>
      <c r="G262" s="191"/>
      <c r="H262" s="191"/>
      <c r="I262" s="191"/>
      <c r="J262" s="191"/>
      <c r="K262" s="191"/>
      <c r="L262" s="191"/>
      <c r="M262" s="191"/>
      <c r="N262" s="191"/>
      <c r="O262" s="191"/>
      <c r="P262" s="192"/>
    </row>
    <row r="263" spans="2:17" ht="15" outlineLevel="1" thickBot="1" x14ac:dyDescent="0.35">
      <c r="B263" s="26"/>
      <c r="C263" s="25"/>
      <c r="E263" s="270" t="s">
        <v>57</v>
      </c>
      <c r="F263" s="271"/>
    </row>
    <row r="264" spans="2:17" s="153" customFormat="1" ht="28.8" outlineLevel="1" x14ac:dyDescent="0.3">
      <c r="B264" s="163"/>
      <c r="C264" s="217"/>
      <c r="D264" s="289"/>
      <c r="E264" s="154" t="s">
        <v>167</v>
      </c>
      <c r="F264" s="154" t="s">
        <v>168</v>
      </c>
      <c r="P264" s="250" t="s">
        <v>2</v>
      </c>
    </row>
    <row r="265" spans="2:17" outlineLevel="1" x14ac:dyDescent="0.3">
      <c r="B265" s="26"/>
      <c r="C265" s="7" t="s">
        <v>166</v>
      </c>
      <c r="D265" s="280" t="b">
        <f>IF(AND(E265&gt;=0,F265&gt;=0),TRUE,FALSE)</f>
        <v>1</v>
      </c>
      <c r="E265" s="12">
        <v>0</v>
      </c>
      <c r="F265" s="12">
        <v>0</v>
      </c>
      <c r="P265" s="440">
        <f>SUM(E265:O265)</f>
        <v>0</v>
      </c>
    </row>
    <row r="266" spans="2:17" outlineLevel="1" x14ac:dyDescent="0.3">
      <c r="B266" s="26"/>
      <c r="C266" s="7" t="s">
        <v>169</v>
      </c>
      <c r="D266" s="280" t="b">
        <f>IF(AND(E266&gt;=0,F266&gt;=0),TRUE,FALSE)</f>
        <v>1</v>
      </c>
      <c r="E266" s="12">
        <v>0</v>
      </c>
      <c r="F266" s="12">
        <v>0</v>
      </c>
      <c r="P266" s="440">
        <f>SUM(E266:O266)</f>
        <v>0</v>
      </c>
    </row>
    <row r="267" spans="2:17" ht="15" outlineLevel="1" thickBot="1" x14ac:dyDescent="0.35">
      <c r="B267" s="26"/>
      <c r="C267" s="7" t="s">
        <v>170</v>
      </c>
      <c r="D267" s="280" t="b">
        <f>IF(AND(E267&gt;=0,F267&gt;=0),TRUE,FALSE)</f>
        <v>1</v>
      </c>
      <c r="E267" s="12">
        <v>0</v>
      </c>
      <c r="F267" s="12">
        <v>0</v>
      </c>
      <c r="P267" s="441">
        <f>SUM(E267:O267)</f>
        <v>0</v>
      </c>
    </row>
    <row r="268" spans="2:17" ht="15" outlineLevel="1" thickBot="1" x14ac:dyDescent="0.35">
      <c r="B268" s="26"/>
      <c r="C268" s="7"/>
      <c r="E268" s="270" t="s">
        <v>57</v>
      </c>
      <c r="P268" s="238"/>
    </row>
    <row r="269" spans="2:17" ht="16.2" outlineLevel="1" thickBot="1" x14ac:dyDescent="0.35">
      <c r="B269" s="38"/>
      <c r="C269" s="7" t="s">
        <v>305</v>
      </c>
      <c r="D269" s="280" t="b">
        <f>IF(E269&gt;=0,TRUE,FALSE)</f>
        <v>1</v>
      </c>
      <c r="E269" s="157">
        <v>100</v>
      </c>
      <c r="F269" s="20"/>
      <c r="G269" s="20"/>
      <c r="H269" s="20"/>
      <c r="I269" s="20"/>
      <c r="J269" s="20"/>
      <c r="K269" s="20"/>
      <c r="L269" s="20"/>
      <c r="M269" s="20"/>
      <c r="N269" s="20"/>
      <c r="O269" s="20"/>
      <c r="P269" s="442">
        <f>E269</f>
        <v>100</v>
      </c>
    </row>
    <row r="270" spans="2:17" outlineLevel="1" x14ac:dyDescent="0.3">
      <c r="B270" s="26"/>
      <c r="C270" s="218"/>
      <c r="E270" s="242"/>
      <c r="F270" s="243"/>
      <c r="G270" s="243"/>
      <c r="H270" s="243"/>
      <c r="I270" s="243"/>
      <c r="J270" s="242" t="s">
        <v>59</v>
      </c>
      <c r="K270" s="243"/>
      <c r="L270" s="243"/>
      <c r="M270" s="243"/>
      <c r="N270" s="243"/>
      <c r="O270" s="244"/>
    </row>
    <row r="271" spans="2:17" ht="15" outlineLevel="1" thickBot="1" x14ac:dyDescent="0.35">
      <c r="B271" s="26"/>
      <c r="C271" s="218"/>
      <c r="E271" s="51">
        <v>0</v>
      </c>
      <c r="F271" s="51">
        <v>1</v>
      </c>
      <c r="G271" s="51">
        <v>2</v>
      </c>
      <c r="H271" s="51">
        <v>3</v>
      </c>
      <c r="I271" s="51">
        <v>4</v>
      </c>
      <c r="J271" s="51">
        <v>5</v>
      </c>
      <c r="K271" s="51">
        <v>6</v>
      </c>
      <c r="L271" s="51">
        <v>7</v>
      </c>
      <c r="M271" s="51">
        <v>8</v>
      </c>
      <c r="N271" s="51">
        <v>9</v>
      </c>
      <c r="O271" s="51">
        <v>10</v>
      </c>
    </row>
    <row r="272" spans="2:17" outlineLevel="1" x14ac:dyDescent="0.3">
      <c r="B272" s="26"/>
      <c r="C272" s="219" t="s">
        <v>592</v>
      </c>
      <c r="D272" s="280" t="b">
        <f ca="1">IF(AND(COUNTIF(E272:O272,"&lt;0")=0,COUNTIF(E272:O272,"&gt;1")=0,COUNT(E272:O272)&gt;=COUNT(E91:O91)),TRUE,FALSE)</f>
        <v>1</v>
      </c>
      <c r="E272" s="89">
        <v>0.05</v>
      </c>
      <c r="F272" s="89">
        <v>0.05</v>
      </c>
      <c r="G272" s="89">
        <v>0.05</v>
      </c>
      <c r="H272" s="89">
        <v>0.05</v>
      </c>
      <c r="I272" s="89">
        <v>0.05</v>
      </c>
      <c r="J272" s="89">
        <v>0.05</v>
      </c>
      <c r="K272" s="89">
        <v>0.05</v>
      </c>
      <c r="L272" s="89">
        <v>0.05</v>
      </c>
      <c r="M272" s="89">
        <v>0.05</v>
      </c>
      <c r="N272" s="89">
        <v>0.05</v>
      </c>
      <c r="O272" s="89">
        <v>0.05</v>
      </c>
      <c r="P272" s="146">
        <f t="shared" ref="P272:P275" si="22">IF(ISNA(INDEX(E272:O272,MATCH(9.99999999999999E+307,E272:O272))),"",INDEX(E272:O272,MATCH(9.99999999999999E+307,E272:O272)))</f>
        <v>0.05</v>
      </c>
      <c r="Q272" s="754"/>
    </row>
    <row r="273" spans="2:17" outlineLevel="1" x14ac:dyDescent="0.3">
      <c r="B273" s="26"/>
      <c r="C273" s="219" t="s">
        <v>593</v>
      </c>
      <c r="D273" s="280" t="b">
        <f ca="1">IF(AND(COUNTIF(E273:O273,"&lt;0")=0,COUNTIF(E273:O273,"&gt;1")=0,COUNT(E273:O273)&gt;=COUNT(E91:O91)),TRUE,FALSE)</f>
        <v>1</v>
      </c>
      <c r="E273" s="89">
        <v>0.4</v>
      </c>
      <c r="F273" s="89">
        <v>0.2</v>
      </c>
      <c r="G273" s="89">
        <v>0.2</v>
      </c>
      <c r="H273" s="89">
        <v>0.2</v>
      </c>
      <c r="I273" s="89">
        <v>0.2</v>
      </c>
      <c r="J273" s="89">
        <v>0.2</v>
      </c>
      <c r="K273" s="89">
        <v>0.2</v>
      </c>
      <c r="L273" s="89">
        <v>0.2</v>
      </c>
      <c r="M273" s="89">
        <v>0.2</v>
      </c>
      <c r="N273" s="89">
        <v>0.2</v>
      </c>
      <c r="O273" s="89">
        <v>0.2</v>
      </c>
      <c r="P273" s="99">
        <f t="shared" si="22"/>
        <v>0.2</v>
      </c>
      <c r="Q273" s="754"/>
    </row>
    <row r="274" spans="2:17" outlineLevel="1" x14ac:dyDescent="0.3">
      <c r="B274" s="26"/>
      <c r="C274" s="219" t="s">
        <v>594</v>
      </c>
      <c r="D274" s="280" t="b">
        <f ca="1">IF(AND(COUNTIF(E274:O274,"&lt;0")=0,COUNTIF(E274:O274,"&gt;1")=0,COUNT(E274:O274)&gt;=COUNT(E91:O91)),TRUE,FALSE)</f>
        <v>1</v>
      </c>
      <c r="E274" s="89">
        <v>0</v>
      </c>
      <c r="F274" s="89">
        <v>0</v>
      </c>
      <c r="G274" s="89">
        <v>0</v>
      </c>
      <c r="H274" s="89">
        <v>0</v>
      </c>
      <c r="I274" s="89">
        <v>0</v>
      </c>
      <c r="J274" s="89">
        <v>0</v>
      </c>
      <c r="K274" s="89">
        <v>0</v>
      </c>
      <c r="L274" s="89">
        <v>0</v>
      </c>
      <c r="M274" s="89">
        <v>0</v>
      </c>
      <c r="N274" s="89">
        <v>0</v>
      </c>
      <c r="O274" s="89">
        <v>0</v>
      </c>
      <c r="P274" s="99">
        <f t="shared" si="22"/>
        <v>0</v>
      </c>
      <c r="Q274" s="754"/>
    </row>
    <row r="275" spans="2:17" outlineLevel="1" x14ac:dyDescent="0.3">
      <c r="B275" s="26"/>
      <c r="C275" s="219" t="s">
        <v>606</v>
      </c>
      <c r="D275" s="280" t="b">
        <f ca="1">IF(AND(COUNTIF(E275:O275,"&lt;0")=0,COUNTIF(E275:O275,"&gt;1")=0),TRUE,FALSE)</f>
        <v>1</v>
      </c>
      <c r="E275" s="410">
        <f ca="1">IF('D. Annual Schedule Tables'!E89&gt;0,SUM(E272:E274),"")</f>
        <v>0.45</v>
      </c>
      <c r="F275" s="410">
        <f ca="1">IF('D. Annual Schedule Tables'!F89&gt;0,SUM(F272:F274),"")</f>
        <v>0.25</v>
      </c>
      <c r="G275" s="410">
        <f ca="1">IF('D. Annual Schedule Tables'!G89&gt;0,SUM(G272:G274),"")</f>
        <v>0.25</v>
      </c>
      <c r="H275" s="410">
        <f ca="1">IF('D. Annual Schedule Tables'!H89&gt;0,SUM(H272:H274),"")</f>
        <v>0.25</v>
      </c>
      <c r="I275" s="410">
        <f ca="1">IF('D. Annual Schedule Tables'!I89&gt;0,SUM(I272:I274),"")</f>
        <v>0.25</v>
      </c>
      <c r="J275" s="410">
        <f ca="1">IF('D. Annual Schedule Tables'!J89&gt;0,SUM(J272:J274),"")</f>
        <v>0.25</v>
      </c>
      <c r="K275" s="410">
        <f ca="1">IF('D. Annual Schedule Tables'!K89&gt;0,SUM(K272:K274),"")</f>
        <v>0.25</v>
      </c>
      <c r="L275" s="410">
        <f ca="1">IF('D. Annual Schedule Tables'!L89&gt;0,SUM(L272:L274),"")</f>
        <v>0.25</v>
      </c>
      <c r="M275" s="410">
        <f ca="1">IF('D. Annual Schedule Tables'!M89&gt;0,SUM(M272:M274),"")</f>
        <v>0.25</v>
      </c>
      <c r="N275" s="410">
        <f ca="1">IF('D. Annual Schedule Tables'!N89&gt;0,SUM(N272:N274),"")</f>
        <v>0.25</v>
      </c>
      <c r="O275" s="410">
        <f ca="1">IF('D. Annual Schedule Tables'!O89&gt;0,SUM(O272:O274),"")</f>
        <v>0.25</v>
      </c>
      <c r="P275" s="99">
        <f t="shared" ca="1" si="22"/>
        <v>0.25</v>
      </c>
    </row>
    <row r="276" spans="2:17" outlineLevel="1" x14ac:dyDescent="0.3">
      <c r="B276" s="26"/>
      <c r="C276" s="406" t="s">
        <v>598</v>
      </c>
      <c r="E276" s="407">
        <f ca="1">IF('D. Annual Schedule Tables'!E748&gt;0,'D. Annual Schedule Tables'!E748,"")</f>
        <v>279</v>
      </c>
      <c r="F276" s="407">
        <f ca="1">IF('D. Annual Schedule Tables'!F748&gt;0,'D. Annual Schedule Tables'!F748,"")</f>
        <v>1</v>
      </c>
      <c r="G276" s="407">
        <f ca="1">IF('D. Annual Schedule Tables'!G748&gt;0,'D. Annual Schedule Tables'!G748,"")</f>
        <v>4</v>
      </c>
      <c r="H276" s="407">
        <f ca="1">IF('D. Annual Schedule Tables'!H748&gt;0,'D. Annual Schedule Tables'!H748,"")</f>
        <v>4</v>
      </c>
      <c r="I276" s="407">
        <f ca="1">IF('D. Annual Schedule Tables'!I748&gt;0,'D. Annual Schedule Tables'!I748,"")</f>
        <v>4</v>
      </c>
      <c r="J276" s="407">
        <f ca="1">IF('D. Annual Schedule Tables'!J748&gt;0,'D. Annual Schedule Tables'!J748,"")</f>
        <v>4</v>
      </c>
      <c r="K276" s="407">
        <f ca="1">IF('D. Annual Schedule Tables'!K748&gt;0,'D. Annual Schedule Tables'!K748,"")</f>
        <v>3</v>
      </c>
      <c r="L276" s="407">
        <f ca="1">IF('D. Annual Schedule Tables'!L748&gt;0,'D. Annual Schedule Tables'!L748,"")</f>
        <v>4</v>
      </c>
      <c r="M276" s="407">
        <f ca="1">IF('D. Annual Schedule Tables'!M748&gt;0,'D. Annual Schedule Tables'!M748,"")</f>
        <v>4</v>
      </c>
      <c r="N276" s="407">
        <f ca="1">IF('D. Annual Schedule Tables'!N748&gt;0,'D. Annual Schedule Tables'!N748,"")</f>
        <v>4</v>
      </c>
      <c r="O276" s="407">
        <f ca="1">IF('D. Annual Schedule Tables'!O748&gt;0,'D. Annual Schedule Tables'!O748,"")</f>
        <v>4</v>
      </c>
      <c r="P276" s="408">
        <f ca="1">SUM(E276:O276)</f>
        <v>315</v>
      </c>
    </row>
    <row r="277" spans="2:17" s="1" customFormat="1" outlineLevel="1" x14ac:dyDescent="0.3">
      <c r="B277" s="165"/>
      <c r="C277" s="59" t="s">
        <v>171</v>
      </c>
      <c r="D277" s="290"/>
      <c r="E277" s="158">
        <f ca="1">IF('E. State-Level Infrastr&amp;Support'!E18+'E. State-Level Infrastr&amp;Support'!E28&gt;0,'E. State-Level Infrastr&amp;Support'!E18+'E. State-Level Infrastr&amp;Support'!E28,"")</f>
        <v>27900</v>
      </c>
      <c r="F277" s="158">
        <f ca="1">IF('E. State-Level Infrastr&amp;Support'!F18+'E. State-Level Infrastr&amp;Support'!F28&gt;0,'E. State-Level Infrastr&amp;Support'!F18+'E. State-Level Infrastr&amp;Support'!F28,"")</f>
        <v>101.6</v>
      </c>
      <c r="G277" s="158">
        <f ca="1">IF('E. State-Level Infrastr&amp;Support'!G18+'E. State-Level Infrastr&amp;Support'!G28&gt;0,'E. State-Level Infrastr&amp;Support'!G18+'E. State-Level Infrastr&amp;Support'!G28,"")</f>
        <v>412.9024</v>
      </c>
      <c r="H277" s="158">
        <f ca="1">IF('E. State-Level Infrastr&amp;Support'!H18+'E. State-Level Infrastr&amp;Support'!H28&gt;0,'E. State-Level Infrastr&amp;Support'!H18+'E. State-Level Infrastr&amp;Support'!H28,"")</f>
        <v>419.5088384</v>
      </c>
      <c r="I277" s="158">
        <f ca="1">IF('E. State-Level Infrastr&amp;Support'!I18+'E. State-Level Infrastr&amp;Support'!I28&gt;0,'E. State-Level Infrastr&amp;Support'!I18+'E. State-Level Infrastr&amp;Support'!I28,"")</f>
        <v>426.22097981440004</v>
      </c>
      <c r="J277" s="158">
        <f ca="1">IF('E. State-Level Infrastr&amp;Support'!J18+'E. State-Level Infrastr&amp;Support'!J28&gt;0,'E. State-Level Infrastr&amp;Support'!J18+'E. State-Level Infrastr&amp;Support'!J28,"")</f>
        <v>433.04051549143043</v>
      </c>
      <c r="K277" s="158">
        <f ca="1">IF('E. State-Level Infrastr&amp;Support'!K18+'E. State-Level Infrastr&amp;Support'!K28&gt;0,'E. State-Level Infrastr&amp;Support'!K18+'E. State-Level Infrastr&amp;Support'!K28,"")</f>
        <v>329.97687280446996</v>
      </c>
      <c r="L277" s="158">
        <f ca="1">IF('E. State-Level Infrastr&amp;Support'!L18+'E. State-Level Infrastr&amp;Support'!L28&gt;0,'E. State-Level Infrastr&amp;Support'!L18+'E. State-Level Infrastr&amp;Support'!L28,"")</f>
        <v>447.00867035912199</v>
      </c>
      <c r="M277" s="158">
        <f ca="1">IF('E. State-Level Infrastr&amp;Support'!M18+'E. State-Level Infrastr&amp;Support'!M28&gt;0,'E. State-Level Infrastr&amp;Support'!M18+'E. State-Level Infrastr&amp;Support'!M28,"")</f>
        <v>454.16080908486799</v>
      </c>
      <c r="N277" s="158">
        <f ca="1">IF('E. State-Level Infrastr&amp;Support'!N18+'E. State-Level Infrastr&amp;Support'!N28&gt;0,'E. State-Level Infrastr&amp;Support'!N18+'E. State-Level Infrastr&amp;Support'!N28,"")</f>
        <v>461.42738203022589</v>
      </c>
      <c r="O277" s="158">
        <f ca="1">IF('E. State-Level Infrastr&amp;Support'!O18+'E. State-Level Infrastr&amp;Support'!O28&gt;0,'E. State-Level Infrastr&amp;Support'!O18+'E. State-Level Infrastr&amp;Support'!O28,"")</f>
        <v>468.81022014270951</v>
      </c>
      <c r="P277" s="194">
        <f ca="1">SUM(E277:O277)</f>
        <v>31854.656688127223</v>
      </c>
    </row>
    <row r="278" spans="2:17" ht="15" outlineLevel="1" thickBot="1" x14ac:dyDescent="0.35">
      <c r="B278" s="27"/>
      <c r="C278" s="7" t="s">
        <v>188</v>
      </c>
      <c r="E278" s="424">
        <f ca="1">IF(ISERR(E277/'E. State-Level Infrastr&amp;Support'!E37),"",IF(E277/'E. State-Level Infrastr&amp;Support'!E37&gt;0,E277/'E. State-Level Infrastr&amp;Support'!E37,""))</f>
        <v>7.9856045205059494E-3</v>
      </c>
      <c r="F278" s="424">
        <f ca="1">IF(ISERR(F277/'E. State-Level Infrastr&amp;Support'!F37),"",IF(F277/'E. State-Level Infrastr&amp;Support'!F37&gt;0,F277/'E. State-Level Infrastr&amp;Support'!F37,""))</f>
        <v>2.5578613438275259E-5</v>
      </c>
      <c r="G278" s="424">
        <f ca="1">IF(ISERR(G277/'E. State-Level Infrastr&amp;Support'!G37),"",IF(G277/'E. State-Level Infrastr&amp;Support'!G37&gt;0,G277/'E. State-Level Infrastr&amp;Support'!G37,""))</f>
        <v>9.0110473640832436E-5</v>
      </c>
      <c r="H278" s="424">
        <f ca="1">IF(ISERR(H277/'E. State-Level Infrastr&amp;Support'!H37),"",IF(H277/'E. State-Level Infrastr&amp;Support'!H37&gt;0,H277/'E. State-Level Infrastr&amp;Support'!H37,""))</f>
        <v>9.4533519599651741E-5</v>
      </c>
      <c r="I278" s="424">
        <f ca="1">IF(ISERR(I277/'E. State-Level Infrastr&amp;Support'!I37),"",IF(I277/'E. State-Level Infrastr&amp;Support'!I37&gt;0,I277/'E. State-Level Infrastr&amp;Support'!I37,""))</f>
        <v>9.0832221602861536E-5</v>
      </c>
      <c r="J278" s="424">
        <f ca="1">IF(ISERR(J277/'E. State-Level Infrastr&amp;Support'!J37),"",IF(J277/'E. State-Level Infrastr&amp;Support'!J37&gt;0,J277/'E. State-Level Infrastr&amp;Support'!J37,""))</f>
        <v>8.9613843053886817E-5</v>
      </c>
      <c r="K278" s="424">
        <f ca="1">IF(ISERR(K277/'E. State-Level Infrastr&amp;Support'!K37),"",IF(K277/'E. State-Level Infrastr&amp;Support'!K37&gt;0,K277/'E. State-Level Infrastr&amp;Support'!K37,""))</f>
        <v>6.6171118646006188E-5</v>
      </c>
      <c r="L278" s="424">
        <f ca="1">IF(ISERR(L277/'E. State-Level Infrastr&amp;Support'!L37),"",IF(L277/'E. State-Level Infrastr&amp;Support'!L37&gt;0,L277/'E. State-Level Infrastr&amp;Support'!L37,""))</f>
        <v>8.6975950610373594E-5</v>
      </c>
      <c r="M278" s="424">
        <f ca="1">IF(ISERR(M277/'E. State-Level Infrastr&amp;Support'!M37),"",IF(M277/'E. State-Level Infrastr&amp;Support'!M37&gt;0,M277/'E. State-Level Infrastr&amp;Support'!M37,""))</f>
        <v>8.5749105833051695E-5</v>
      </c>
      <c r="N278" s="424">
        <f ca="1">IF(ISERR(N277/'E. State-Level Infrastr&amp;Support'!N37),"",IF(N277/'E. State-Level Infrastr&amp;Support'!N37&gt;0,N277/'E. State-Level Infrastr&amp;Support'!N37,""))</f>
        <v>8.6617323734070029E-5</v>
      </c>
      <c r="O278" s="424">
        <f ca="1">IF(ISERR(O277/'E. State-Level Infrastr&amp;Support'!O37),"",IF(O277/'E. State-Level Infrastr&amp;Support'!O37&gt;0,O277/'E. State-Level Infrastr&amp;Support'!O37,""))</f>
        <v>8.3484568920899068E-5</v>
      </c>
      <c r="P278" s="190">
        <f ca="1">IF(ISERR(P277/'E. State-Level Infrastr&amp;Support'!P37),"",IF(P277/'E. State-Level Infrastr&amp;Support'!P37&gt;0,P277/'E. State-Level Infrastr&amp;Support'!P37,""))</f>
        <v>6.0819544585013162E-4</v>
      </c>
    </row>
    <row r="279" spans="2:17" s="1" customFormat="1" x14ac:dyDescent="0.3">
      <c r="B279" s="179"/>
      <c r="C279" s="9"/>
      <c r="D279" s="290"/>
      <c r="E279" s="160"/>
      <c r="F279" s="160"/>
      <c r="G279" s="160"/>
      <c r="H279" s="160"/>
      <c r="I279" s="160"/>
      <c r="J279" s="160"/>
      <c r="K279" s="160"/>
      <c r="L279" s="160"/>
      <c r="M279" s="160"/>
      <c r="N279" s="160"/>
      <c r="O279" s="160"/>
      <c r="P279" s="161"/>
    </row>
    <row r="280" spans="2:17" s="1" customFormat="1" ht="15.6" x14ac:dyDescent="0.3">
      <c r="B280" s="253" t="s">
        <v>423</v>
      </c>
      <c r="C280" s="264"/>
      <c r="D280" s="290"/>
      <c r="E280" s="160"/>
      <c r="F280" s="160"/>
      <c r="G280" s="160"/>
      <c r="H280" s="160"/>
      <c r="I280" s="160"/>
      <c r="J280" s="160"/>
      <c r="K280" s="160"/>
      <c r="L280" s="160"/>
      <c r="M280" s="160"/>
      <c r="N280" s="160"/>
      <c r="O280" s="160"/>
      <c r="P280" s="161"/>
    </row>
    <row r="281" spans="2:17" s="1" customFormat="1" outlineLevel="1" x14ac:dyDescent="0.3">
      <c r="B281" s="26"/>
      <c r="C281" s="25"/>
      <c r="D281" s="290"/>
      <c r="E281" s="730"/>
      <c r="F281" s="731"/>
      <c r="G281" s="731" t="s">
        <v>1070</v>
      </c>
      <c r="H281" s="733"/>
      <c r="I281" s="732"/>
      <c r="J281" s="160"/>
      <c r="K281" s="160"/>
      <c r="L281" s="160"/>
      <c r="M281" s="160"/>
      <c r="N281" s="160"/>
      <c r="O281" s="160"/>
    </row>
    <row r="282" spans="2:17" s="1" customFormat="1" ht="15" outlineLevel="1" thickBot="1" x14ac:dyDescent="0.35">
      <c r="B282" s="26"/>
      <c r="C282" s="162"/>
      <c r="D282" s="290"/>
      <c r="E282" s="729" t="s">
        <v>1032</v>
      </c>
      <c r="F282" s="729" t="s">
        <v>1033</v>
      </c>
      <c r="G282" s="729" t="s">
        <v>1034</v>
      </c>
      <c r="H282" s="729" t="s">
        <v>1035</v>
      </c>
      <c r="I282" s="738" t="s">
        <v>1068</v>
      </c>
      <c r="J282" s="160"/>
      <c r="K282" s="160"/>
      <c r="L282" s="160"/>
      <c r="M282" s="160"/>
      <c r="N282" s="160"/>
      <c r="O282" s="160"/>
    </row>
    <row r="283" spans="2:17" s="1" customFormat="1" outlineLevel="1" x14ac:dyDescent="0.3">
      <c r="B283" s="26"/>
      <c r="C283" s="7" t="s">
        <v>1073</v>
      </c>
      <c r="D283" s="290"/>
      <c r="E283" s="171" t="s">
        <v>1036</v>
      </c>
      <c r="F283" s="171"/>
      <c r="G283" s="171"/>
      <c r="H283" s="171"/>
      <c r="I283" s="737" t="s">
        <v>1069</v>
      </c>
      <c r="J283" s="160"/>
      <c r="K283" s="160"/>
      <c r="L283" s="160"/>
      <c r="M283" s="160"/>
      <c r="N283" s="160"/>
      <c r="O283" s="160"/>
      <c r="P283" s="250" t="s">
        <v>2</v>
      </c>
      <c r="Q283" s="754"/>
    </row>
    <row r="284" spans="2:17" s="1" customFormat="1" outlineLevel="1" x14ac:dyDescent="0.3">
      <c r="B284" s="165"/>
      <c r="C284" s="7" t="s">
        <v>614</v>
      </c>
      <c r="D284" s="280" t="b">
        <f>IF(COUNTIF(E284:H284,"&lt;0")=0,TRUE,FALSE)</f>
        <v>1</v>
      </c>
      <c r="E284" s="171">
        <v>0</v>
      </c>
      <c r="F284" s="171"/>
      <c r="G284" s="171"/>
      <c r="H284" s="171"/>
      <c r="I284" s="734">
        <f>SUM(E284:H284)</f>
        <v>0</v>
      </c>
      <c r="J284" s="160"/>
      <c r="K284" s="160"/>
      <c r="L284" s="160"/>
      <c r="M284" s="160"/>
      <c r="N284" s="160"/>
      <c r="O284" s="160"/>
      <c r="P284" s="438">
        <f t="shared" ref="P284:P290" si="23">I284</f>
        <v>0</v>
      </c>
      <c r="Q284" s="754"/>
    </row>
    <row r="285" spans="2:17" s="1" customFormat="1" outlineLevel="1" x14ac:dyDescent="0.3">
      <c r="B285" s="165"/>
      <c r="C285" s="7" t="s">
        <v>424</v>
      </c>
      <c r="D285" s="280" t="b">
        <f>IF(COUNTIF(E285:H285,"&lt;0")=0,TRUE,FALSE)</f>
        <v>1</v>
      </c>
      <c r="E285" s="171">
        <v>0</v>
      </c>
      <c r="F285" s="171"/>
      <c r="G285" s="171"/>
      <c r="H285" s="171"/>
      <c r="I285" s="736">
        <f>IF(COUNTIF(E285:H285,"&gt;0")=0,0,IF(COUNTIF(E285:H285,"&gt;0")=1,MAX(E285:H285),IF(COUNTIF(E285:H285,"&gt;0")=2,(LARGE(E285:H285,1)*LARGE(E285:H285,2))/(LARGE(E285:H285,1)+LARGE(E285:H285,2)),IF(COUNTIF(E285:H285,"&gt;0")=3,(LARGE(E285:H285,1)*LARGE(E285:H285,2)*LARGE(E285:H285,3))/(LARGE(E285:H285,2)*LARGE(E285:H285,3)+LARGE(E285:H285,1)*LARGE(E285:H285,3)+LARGE(E285:H285,1)*LARGE(E285:H285,2)),(LARGE(E285:H285,1)*LARGE(E285:H285,2)*LARGE(E285:H285,3)*LARGE(E285:H285,4))/(LARGE(E285:H285,2)*LARGE(E285:H285,3)*LARGE(E285:H285,4)+LARGE(E285:H285,1)*LARGE(E285:H285,2)*LARGE(E285:H285,3)+LARGE(E285:H285,1)*LARGE(E285:H285,3)*LARGE(E285:H285,4)+LARGE(E285:H285,1)*LARGE(E285:H285,2)*LARGE(E285:H285,4))))))</f>
        <v>0</v>
      </c>
      <c r="J285" s="735"/>
      <c r="K285" s="735"/>
      <c r="L285" s="160"/>
      <c r="M285" s="160"/>
      <c r="N285" s="160"/>
      <c r="O285" s="160"/>
      <c r="P285" s="439">
        <f t="shared" si="23"/>
        <v>0</v>
      </c>
    </row>
    <row r="286" spans="2:17" s="1" customFormat="1" outlineLevel="1" x14ac:dyDescent="0.3">
      <c r="B286" s="165"/>
      <c r="C286" s="7" t="s">
        <v>425</v>
      </c>
      <c r="D286" s="280" t="b">
        <f>IF(COUNTIF(E286:H286,"&lt;0")=0,TRUE,FALSE)</f>
        <v>1</v>
      </c>
      <c r="E286" s="344">
        <v>0</v>
      </c>
      <c r="F286" s="344"/>
      <c r="G286" s="344"/>
      <c r="H286" s="344"/>
      <c r="I286" s="739">
        <f>(IFERROR(E286/E285,0)+IFERROR(F286/F285,0)+IFERROR(G286/G285,0)+IFERROR(H286/H285,0))*I285</f>
        <v>0</v>
      </c>
      <c r="J286" s="160"/>
      <c r="K286" s="735"/>
      <c r="L286" s="160"/>
      <c r="M286" s="160"/>
      <c r="N286" s="160"/>
      <c r="O286" s="160"/>
      <c r="P286" s="174">
        <f t="shared" si="23"/>
        <v>0</v>
      </c>
    </row>
    <row r="287" spans="2:17" s="1" customFormat="1" outlineLevel="1" x14ac:dyDescent="0.3">
      <c r="B287" s="165"/>
      <c r="C287" s="7" t="s">
        <v>1030</v>
      </c>
      <c r="D287" s="280" t="b">
        <f>IF(AND(COUNTIF(E287:H287,"&lt;0")=0,COUNTIF(E287:H287,"&gt;1")=0),TRUE,FALSE)</f>
        <v>1</v>
      </c>
      <c r="E287" s="89">
        <v>0</v>
      </c>
      <c r="F287" s="89"/>
      <c r="G287" s="89"/>
      <c r="H287" s="89"/>
      <c r="I287" s="743">
        <f>(IFERROR(E287/E285,0)+IFERROR(F287/F285,0)+IFERROR(G287/G285,0)+IFERROR(H287/H285,0))*I285</f>
        <v>0</v>
      </c>
      <c r="J287" s="160"/>
      <c r="K287" s="160"/>
      <c r="L287" s="160"/>
      <c r="M287" s="160"/>
      <c r="N287" s="160"/>
      <c r="O287" s="160"/>
      <c r="P287" s="99">
        <f t="shared" si="23"/>
        <v>0</v>
      </c>
    </row>
    <row r="288" spans="2:17" s="1" customFormat="1" outlineLevel="1" x14ac:dyDescent="0.3">
      <c r="B288" s="165"/>
      <c r="C288" s="7" t="s">
        <v>174</v>
      </c>
      <c r="D288" s="280" t="b">
        <f>IF(COUNTIF(E288:H288,"&lt;0")=0,TRUE,FALSE)</f>
        <v>1</v>
      </c>
      <c r="E288" s="12">
        <v>0</v>
      </c>
      <c r="F288" s="12"/>
      <c r="G288" s="12"/>
      <c r="H288" s="12"/>
      <c r="I288" s="739">
        <f>(IFERROR(E288/E285,0)+IFERROR(F288/F285,0)+IFERROR(G288/G285,0)+IFERROR(H288/H285,0))*I285</f>
        <v>0</v>
      </c>
      <c r="J288" s="160"/>
      <c r="K288" s="160"/>
      <c r="L288" s="160"/>
      <c r="M288" s="160"/>
      <c r="N288" s="160"/>
      <c r="O288" s="160"/>
      <c r="P288" s="174">
        <f t="shared" si="23"/>
        <v>0</v>
      </c>
    </row>
    <row r="289" spans="1:16" s="1" customFormat="1" outlineLevel="1" x14ac:dyDescent="0.3">
      <c r="B289" s="165"/>
      <c r="C289" s="7" t="s">
        <v>175</v>
      </c>
      <c r="D289" s="280" t="b">
        <f>IF(AND(COUNTIF(E289:H289,"&lt;0")=0,COUNTIF(E289:H289,"&gt;1")=0),TRUE,FALSE)</f>
        <v>1</v>
      </c>
      <c r="E289" s="8">
        <v>0</v>
      </c>
      <c r="F289" s="8"/>
      <c r="G289" s="8"/>
      <c r="H289" s="8"/>
      <c r="I289" s="742">
        <f>(IFERROR(E289/E285,0)+IFERROR(F289/F285,0)+IFERROR(G289/G285,0)+IFERROR(H289/H285,0))*I285</f>
        <v>0</v>
      </c>
      <c r="J289" s="160"/>
      <c r="K289" s="160"/>
      <c r="L289" s="160"/>
      <c r="M289" s="160"/>
      <c r="N289" s="160"/>
      <c r="O289" s="160"/>
      <c r="P289" s="102">
        <f t="shared" si="23"/>
        <v>0</v>
      </c>
    </row>
    <row r="290" spans="1:16" ht="16.2" outlineLevel="1" thickBot="1" x14ac:dyDescent="0.35">
      <c r="B290" s="38"/>
      <c r="C290" s="7" t="s">
        <v>426</v>
      </c>
      <c r="D290" s="280" t="b">
        <f>IF(COUNTIF(E290:H290,"&lt;0")=0,TRUE,FALSE)</f>
        <v>1</v>
      </c>
      <c r="E290" s="157">
        <v>0</v>
      </c>
      <c r="F290" s="157"/>
      <c r="G290" s="157"/>
      <c r="H290" s="157"/>
      <c r="I290" s="739">
        <f>(IFERROR(E290/E285,0)+IFERROR(F290/F285,0)+IFERROR(G290/G285,0)+IFERROR(H290/H285,0))*I285</f>
        <v>0</v>
      </c>
      <c r="J290" s="20"/>
      <c r="K290" s="20"/>
      <c r="L290" s="20"/>
      <c r="M290" s="20"/>
      <c r="N290" s="20"/>
      <c r="O290" s="20"/>
      <c r="P290" s="138">
        <f t="shared" si="23"/>
        <v>0</v>
      </c>
    </row>
    <row r="291" spans="1:16" outlineLevel="1" x14ac:dyDescent="0.3">
      <c r="B291" s="26"/>
      <c r="C291" s="218"/>
      <c r="E291" s="242"/>
      <c r="F291" s="243"/>
      <c r="G291" s="243"/>
      <c r="H291" s="243"/>
      <c r="I291" s="243"/>
      <c r="J291" s="242" t="s">
        <v>59</v>
      </c>
      <c r="K291" s="243"/>
      <c r="L291" s="243"/>
      <c r="M291" s="243"/>
      <c r="N291" s="243"/>
      <c r="O291" s="244"/>
    </row>
    <row r="292" spans="1:16" ht="15" outlineLevel="1" thickBot="1" x14ac:dyDescent="0.35">
      <c r="B292" s="26"/>
      <c r="C292" s="218"/>
      <c r="E292" s="51">
        <v>0</v>
      </c>
      <c r="F292" s="51">
        <v>1</v>
      </c>
      <c r="G292" s="51">
        <v>2</v>
      </c>
      <c r="H292" s="51">
        <v>3</v>
      </c>
      <c r="I292" s="51">
        <v>4</v>
      </c>
      <c r="J292" s="51">
        <v>5</v>
      </c>
      <c r="K292" s="51">
        <v>6</v>
      </c>
      <c r="L292" s="51">
        <v>7</v>
      </c>
      <c r="M292" s="51">
        <v>8</v>
      </c>
      <c r="N292" s="51">
        <v>9</v>
      </c>
      <c r="O292" s="51">
        <v>10</v>
      </c>
      <c r="P292"/>
    </row>
    <row r="293" spans="1:16" s="1" customFormat="1" outlineLevel="1" x14ac:dyDescent="0.3">
      <c r="B293" s="165"/>
      <c r="C293" s="59" t="s">
        <v>616</v>
      </c>
      <c r="D293" s="290"/>
      <c r="E293" s="95" t="str">
        <f ca="1">IF('D. Annual Schedule Tables'!E782&gt;0,'D. Annual Schedule Tables'!E782,"")</f>
        <v/>
      </c>
      <c r="F293" s="95" t="str">
        <f ca="1">IF('D. Annual Schedule Tables'!F782&gt;0,'D. Annual Schedule Tables'!F782,"")</f>
        <v/>
      </c>
      <c r="G293" s="95" t="str">
        <f ca="1">IF('D. Annual Schedule Tables'!G782&gt;0,'D. Annual Schedule Tables'!G782,"")</f>
        <v/>
      </c>
      <c r="H293" s="95" t="str">
        <f ca="1">IF('D. Annual Schedule Tables'!H782&gt;0,'D. Annual Schedule Tables'!H782,"")</f>
        <v/>
      </c>
      <c r="I293" s="95" t="str">
        <f ca="1">IF('D. Annual Schedule Tables'!I782&gt;0,'D. Annual Schedule Tables'!I782,"")</f>
        <v/>
      </c>
      <c r="J293" s="95" t="str">
        <f ca="1">IF('D. Annual Schedule Tables'!J782&gt;0,'D. Annual Schedule Tables'!J782,"")</f>
        <v/>
      </c>
      <c r="K293" s="95" t="str">
        <f ca="1">IF('D. Annual Schedule Tables'!K782&gt;0,'D. Annual Schedule Tables'!K782,"")</f>
        <v/>
      </c>
      <c r="L293" s="95" t="str">
        <f ca="1">IF('D. Annual Schedule Tables'!L782&gt;0,'D. Annual Schedule Tables'!L782,"")</f>
        <v/>
      </c>
      <c r="M293" s="95" t="str">
        <f ca="1">IF('D. Annual Schedule Tables'!M782&gt;0,'D. Annual Schedule Tables'!M782,"")</f>
        <v/>
      </c>
      <c r="N293" s="95" t="str">
        <f ca="1">IF('D. Annual Schedule Tables'!N782&gt;0,'D. Annual Schedule Tables'!N782,"")</f>
        <v/>
      </c>
      <c r="O293" s="95" t="str">
        <f ca="1">IF('D. Annual Schedule Tables'!O782&gt;0,'D. Annual Schedule Tables'!O782,"")</f>
        <v/>
      </c>
      <c r="P293" s="437" t="str">
        <f ca="1">IF(ISNA(INDEX(E293:O293,MATCH(9.99999999999999E+307,E293:O293))),"",INDEX(E293:O293,MATCH(9.99999999999999E+307,E293:O293)))</f>
        <v/>
      </c>
    </row>
    <row r="294" spans="1:16" s="1" customFormat="1" outlineLevel="1" x14ac:dyDescent="0.3">
      <c r="B294" s="165"/>
      <c r="C294" s="59" t="s">
        <v>615</v>
      </c>
      <c r="D294" s="290"/>
      <c r="E294" s="411" t="str">
        <f ca="1">IF('E. State-Level Infrastr&amp;Support'!E31+'E. State-Level Infrastr&amp;Support'!E19&gt;0,'E. State-Level Infrastr&amp;Support'!E31+'E. State-Level Infrastr&amp;Support'!E19,"")</f>
        <v/>
      </c>
      <c r="F294" s="411" t="str">
        <f ca="1">IF('E. State-Level Infrastr&amp;Support'!F31+'E. State-Level Infrastr&amp;Support'!F19&gt;0,'E. State-Level Infrastr&amp;Support'!F31+'E. State-Level Infrastr&amp;Support'!F19,"")</f>
        <v/>
      </c>
      <c r="G294" s="411" t="str">
        <f ca="1">IF('E. State-Level Infrastr&amp;Support'!G31+'E. State-Level Infrastr&amp;Support'!G19&gt;0,'E. State-Level Infrastr&amp;Support'!G31+'E. State-Level Infrastr&amp;Support'!G19,"")</f>
        <v/>
      </c>
      <c r="H294" s="411" t="str">
        <f ca="1">IF('E. State-Level Infrastr&amp;Support'!H31+'E. State-Level Infrastr&amp;Support'!H19&gt;0,'E. State-Level Infrastr&amp;Support'!H31+'E. State-Level Infrastr&amp;Support'!H19,"")</f>
        <v/>
      </c>
      <c r="I294" s="411" t="str">
        <f ca="1">IF('E. State-Level Infrastr&amp;Support'!I31+'E. State-Level Infrastr&amp;Support'!I19&gt;0,'E. State-Level Infrastr&amp;Support'!I31+'E. State-Level Infrastr&amp;Support'!I19,"")</f>
        <v/>
      </c>
      <c r="J294" s="411" t="str">
        <f ca="1">IF('E. State-Level Infrastr&amp;Support'!J31+'E. State-Level Infrastr&amp;Support'!J19&gt;0,'E. State-Level Infrastr&amp;Support'!J31+'E. State-Level Infrastr&amp;Support'!J19,"")</f>
        <v/>
      </c>
      <c r="K294" s="411" t="str">
        <f ca="1">IF('E. State-Level Infrastr&amp;Support'!K31+'E. State-Level Infrastr&amp;Support'!K19&gt;0,'E. State-Level Infrastr&amp;Support'!K31+'E. State-Level Infrastr&amp;Support'!K19,"")</f>
        <v/>
      </c>
      <c r="L294" s="411" t="str">
        <f ca="1">IF('E. State-Level Infrastr&amp;Support'!L31+'E. State-Level Infrastr&amp;Support'!L19&gt;0,'E. State-Level Infrastr&amp;Support'!L31+'E. State-Level Infrastr&amp;Support'!L19,"")</f>
        <v/>
      </c>
      <c r="M294" s="411" t="str">
        <f ca="1">IF('E. State-Level Infrastr&amp;Support'!M31+'E. State-Level Infrastr&amp;Support'!M19&gt;0,'E. State-Level Infrastr&amp;Support'!M31+'E. State-Level Infrastr&amp;Support'!M19,"")</f>
        <v/>
      </c>
      <c r="N294" s="411" t="str">
        <f ca="1">IF('E. State-Level Infrastr&amp;Support'!N31+'E. State-Level Infrastr&amp;Support'!N19&gt;0,'E. State-Level Infrastr&amp;Support'!N31+'E. State-Level Infrastr&amp;Support'!N19,"")</f>
        <v/>
      </c>
      <c r="O294" s="411" t="str">
        <f ca="1">IF('E. State-Level Infrastr&amp;Support'!O31+'E. State-Level Infrastr&amp;Support'!O19&gt;0,'E. State-Level Infrastr&amp;Support'!O31+'E. State-Level Infrastr&amp;Support'!O19,"")</f>
        <v/>
      </c>
      <c r="P294" s="194">
        <f ca="1">SUM(E294:O294)</f>
        <v>0</v>
      </c>
    </row>
    <row r="295" spans="1:16" ht="15" outlineLevel="1" thickBot="1" x14ac:dyDescent="0.35">
      <c r="B295" s="27"/>
      <c r="C295" s="7" t="s">
        <v>427</v>
      </c>
      <c r="E295" s="424" t="str">
        <f ca="1">IF(ISERR(E294/'E. State-Level Infrastr&amp;Support'!E37),"",IF(E294/'E. State-Level Infrastr&amp;Support'!E37&gt;0,E294/'E. State-Level Infrastr&amp;Support'!E37,""))</f>
        <v/>
      </c>
      <c r="F295" s="424" t="str">
        <f ca="1">IF(ISERR(F294/'E. State-Level Infrastr&amp;Support'!F37),"",IF(F294/'E. State-Level Infrastr&amp;Support'!F37&gt;0,F294/'E. State-Level Infrastr&amp;Support'!F37,""))</f>
        <v/>
      </c>
      <c r="G295" s="424" t="str">
        <f ca="1">IF(ISERR(G294/'E. State-Level Infrastr&amp;Support'!G37),"",IF(G294/'E. State-Level Infrastr&amp;Support'!G37&gt;0,G294/'E. State-Level Infrastr&amp;Support'!G37,""))</f>
        <v/>
      </c>
      <c r="H295" s="424" t="str">
        <f ca="1">IF(ISERR(H294/'E. State-Level Infrastr&amp;Support'!H37),"",IF(H294/'E. State-Level Infrastr&amp;Support'!H37&gt;0,H294/'E. State-Level Infrastr&amp;Support'!H37,""))</f>
        <v/>
      </c>
      <c r="I295" s="424" t="str">
        <f ca="1">IF(ISERR(I294/'E. State-Level Infrastr&amp;Support'!I37),"",IF(I294/'E. State-Level Infrastr&amp;Support'!I37&gt;0,I294/'E. State-Level Infrastr&amp;Support'!I37,""))</f>
        <v/>
      </c>
      <c r="J295" s="424" t="str">
        <f ca="1">IF(ISERR(J294/'E. State-Level Infrastr&amp;Support'!J37),"",IF(J294/'E. State-Level Infrastr&amp;Support'!J37&gt;0,J294/'E. State-Level Infrastr&amp;Support'!J37,""))</f>
        <v/>
      </c>
      <c r="K295" s="424" t="str">
        <f ca="1">IF(ISERR(K294/'E. State-Level Infrastr&amp;Support'!K37),"",IF(K294/'E. State-Level Infrastr&amp;Support'!K37&gt;0,K294/'E. State-Level Infrastr&amp;Support'!K37,""))</f>
        <v/>
      </c>
      <c r="L295" s="424" t="str">
        <f ca="1">IF(ISERR(L294/'E. State-Level Infrastr&amp;Support'!L37),"",IF(L294/'E. State-Level Infrastr&amp;Support'!L37&gt;0,L294/'E. State-Level Infrastr&amp;Support'!L37,""))</f>
        <v/>
      </c>
      <c r="M295" s="424" t="str">
        <f ca="1">IF(ISERR(M294/'E. State-Level Infrastr&amp;Support'!M37),"",IF(M294/'E. State-Level Infrastr&amp;Support'!M37&gt;0,M294/'E. State-Level Infrastr&amp;Support'!M37,""))</f>
        <v/>
      </c>
      <c r="N295" s="424" t="str">
        <f ca="1">IF(ISERR(N294/'E. State-Level Infrastr&amp;Support'!N37),"",IF(N294/'E. State-Level Infrastr&amp;Support'!N37&gt;0,N294/'E. State-Level Infrastr&amp;Support'!N37,""))</f>
        <v/>
      </c>
      <c r="O295" s="424" t="str">
        <f ca="1">IF(ISERR(O294/'E. State-Level Infrastr&amp;Support'!O37),"",IF(O294/'E. State-Level Infrastr&amp;Support'!O37&gt;0,O294/'E. State-Level Infrastr&amp;Support'!O37,""))</f>
        <v/>
      </c>
      <c r="P295" s="190" t="str">
        <f ca="1">IF(ISERR(P294/'E. State-Level Infrastr&amp;Support'!P37),"",IF(P294/'E. State-Level Infrastr&amp;Support'!P37&gt;0,P294/'E. State-Level Infrastr&amp;Support'!P37,""))</f>
        <v/>
      </c>
    </row>
    <row r="296" spans="1:16" s="1" customFormat="1" x14ac:dyDescent="0.3">
      <c r="B296" s="87"/>
      <c r="C296" s="221"/>
      <c r="D296" s="290"/>
      <c r="E296" s="160"/>
      <c r="F296" s="160"/>
      <c r="G296" s="160"/>
      <c r="H296" s="160"/>
      <c r="I296" s="160"/>
      <c r="J296" s="160"/>
      <c r="K296" s="160"/>
      <c r="L296" s="160"/>
      <c r="M296" s="160"/>
      <c r="N296" s="160"/>
      <c r="O296" s="160"/>
      <c r="P296" s="161"/>
    </row>
    <row r="297" spans="1:16" s="1" customFormat="1" ht="15.6" x14ac:dyDescent="0.3">
      <c r="B297" s="253" t="s">
        <v>318</v>
      </c>
      <c r="C297" s="264"/>
      <c r="D297" s="290"/>
      <c r="E297" s="160"/>
      <c r="F297" s="160"/>
      <c r="G297" s="160"/>
      <c r="H297" s="160"/>
      <c r="I297" s="160"/>
      <c r="J297" s="160"/>
      <c r="K297" s="160"/>
      <c r="L297" s="160"/>
      <c r="M297" s="160"/>
      <c r="N297" s="160"/>
      <c r="O297" s="160"/>
      <c r="P297" s="161"/>
    </row>
    <row r="298" spans="1:16" s="1" customFormat="1" ht="15" outlineLevel="1" thickBot="1" x14ac:dyDescent="0.35">
      <c r="B298" s="26"/>
      <c r="C298" s="25"/>
      <c r="D298" s="290"/>
      <c r="E298" s="242"/>
      <c r="F298" s="243"/>
      <c r="G298" s="243"/>
      <c r="H298" s="243"/>
      <c r="I298" s="243"/>
      <c r="J298" s="242" t="s">
        <v>59</v>
      </c>
      <c r="K298" s="243"/>
      <c r="L298" s="243"/>
      <c r="M298" s="243"/>
      <c r="N298" s="243"/>
      <c r="O298" s="244"/>
      <c r="P298" s="161"/>
    </row>
    <row r="299" spans="1:16" s="1" customFormat="1" outlineLevel="1" x14ac:dyDescent="0.3">
      <c r="B299" s="165"/>
      <c r="C299" s="217"/>
      <c r="D299" s="290"/>
      <c r="E299" s="51">
        <v>0</v>
      </c>
      <c r="F299" s="51">
        <v>1</v>
      </c>
      <c r="G299" s="51">
        <v>2</v>
      </c>
      <c r="H299" s="51">
        <v>3</v>
      </c>
      <c r="I299" s="51">
        <v>4</v>
      </c>
      <c r="J299" s="51">
        <v>5</v>
      </c>
      <c r="K299" s="51">
        <v>6</v>
      </c>
      <c r="L299" s="51">
        <v>7</v>
      </c>
      <c r="M299" s="51">
        <v>8</v>
      </c>
      <c r="N299" s="51">
        <v>9</v>
      </c>
      <c r="O299" s="77">
        <v>10</v>
      </c>
      <c r="P299" s="250" t="s">
        <v>2</v>
      </c>
    </row>
    <row r="300" spans="1:16" s="1" customFormat="1" outlineLevel="1" x14ac:dyDescent="0.3">
      <c r="B300" s="165"/>
      <c r="C300" s="59" t="s">
        <v>178</v>
      </c>
      <c r="D300" s="290"/>
      <c r="E300" s="158">
        <f ca="1">IF('E. State-Level Infrastr&amp;Support'!E17+'E. State-Level Infrastr&amp;Support'!E21&gt;0,'E. State-Level Infrastr&amp;Support'!E17+'E. State-Level Infrastr&amp;Support'!E21,"")</f>
        <v>133300</v>
      </c>
      <c r="F300" s="158">
        <f ca="1">IF('E. State-Level Infrastr&amp;Support'!F17+'E. State-Level Infrastr&amp;Support'!F21&gt;0,'E. State-Level Infrastr&amp;Support'!F17+'E. State-Level Infrastr&amp;Support'!F21,"")</f>
        <v>139801.60000000001</v>
      </c>
      <c r="G300" s="158">
        <f ca="1">IF('E. State-Level Infrastr&amp;Support'!G17+'E. State-Level Infrastr&amp;Support'!G21&gt;0,'E. State-Level Infrastr&amp;Support'!G17+'E. State-Level Infrastr&amp;Support'!G21,"")</f>
        <v>146477.12640000001</v>
      </c>
      <c r="H300" s="158">
        <f ca="1">IF('E. State-Level Infrastr&amp;Support'!H17+'E. State-Level Infrastr&amp;Support'!H21&gt;0,'E. State-Level Infrastr&amp;Support'!H17+'E. State-Level Infrastr&amp;Support'!H21,"")</f>
        <v>151075.6204288</v>
      </c>
      <c r="I300" s="158">
        <f ca="1">IF('E. State-Level Infrastr&amp;Support'!I17+'E. State-Level Infrastr&amp;Support'!I21&gt;0,'E. State-Level Infrastr&amp;Support'!I17+'E. State-Level Infrastr&amp;Support'!I21,"")</f>
        <v>158074.7058886656</v>
      </c>
      <c r="J300" s="158">
        <f ca="1">IF('E. State-Level Infrastr&amp;Support'!J17+'E. State-Level Infrastr&amp;Support'!J21&gt;0,'E. State-Level Infrastr&amp;Support'!J17+'E. State-Level Infrastr&amp;Support'!J21,"")</f>
        <v>162931.4939536507</v>
      </c>
      <c r="K300" s="158">
        <f ca="1">IF('E. State-Level Infrastr&amp;Support'!K17+'E. State-Level Infrastr&amp;Support'!K21&gt;0,'E. State-Level Infrastr&amp;Support'!K17+'E. State-Level Infrastr&amp;Support'!K21,"")</f>
        <v>170268.06636710651</v>
      </c>
      <c r="L300" s="158">
        <f ca="1">IF('E. State-Level Infrastr&amp;Support'!L17+'E. State-Level Infrastr&amp;Support'!L21&gt;0,'E. State-Level Infrastr&amp;Support'!L17+'E. State-Level Infrastr&amp;Support'!L21,"")</f>
        <v>175395.02703216049</v>
      </c>
      <c r="M300" s="158">
        <f ca="1">IF('E. State-Level Infrastr&amp;Support'!M17+'E. State-Level Infrastr&amp;Support'!M21&gt;0,'E. State-Level Infrastr&amp;Support'!M17+'E. State-Level Infrastr&amp;Support'!M21,"")</f>
        <v>183083.57616233741</v>
      </c>
      <c r="N300" s="158">
        <f ca="1">IF('E. State-Level Infrastr&amp;Support'!N17+'E. State-Level Infrastr&amp;Support'!N21&gt;0,'E. State-Level Infrastr&amp;Support'!N17+'E. State-Level Infrastr&amp;Support'!N21,"")</f>
        <v>188493.0855593473</v>
      </c>
      <c r="O300" s="158">
        <f ca="1">IF('E. State-Level Infrastr&amp;Support'!O17+'E. State-Level Infrastr&amp;Support'!O21&gt;0,'E. State-Level Infrastr&amp;Support'!O17+'E. State-Level Infrastr&amp;Support'!O21,"")</f>
        <v>196548.68479483097</v>
      </c>
      <c r="P300" s="194">
        <f ca="1">SUM(E300:O300)</f>
        <v>1805448.986586899</v>
      </c>
    </row>
    <row r="301" spans="1:16" ht="15" outlineLevel="1" thickBot="1" x14ac:dyDescent="0.35">
      <c r="B301" s="27"/>
      <c r="C301" s="7" t="s">
        <v>189</v>
      </c>
      <c r="E301" s="424">
        <f ca="1">IF(ISERR(E300/'E. State-Level Infrastr&amp;Support'!E37),"",IF(E300/'E. State-Level Infrastr&amp;Support'!E37&gt;0,E300/'E. State-Level Infrastr&amp;Support'!E37,""))</f>
        <v>3.8153443820195095E-2</v>
      </c>
      <c r="F301" s="424">
        <f ca="1">IF(ISERR(F300/'E. State-Level Infrastr&amp;Support'!F37),"",IF(F300/'E. State-Level Infrastr&amp;Support'!F37&gt;0,F300/'E. State-Level Infrastr&amp;Support'!F37,""))</f>
        <v>3.5196172091066756E-2</v>
      </c>
      <c r="G301" s="424">
        <f ca="1">IF(ISERR(G300/'E. State-Level Infrastr&amp;Support'!G37),"",IF(G300/'E. State-Level Infrastr&amp;Support'!G37&gt;0,G300/'E. State-Level Infrastr&amp;Support'!G37,""))</f>
        <v>3.1966690524085309E-2</v>
      </c>
      <c r="H301" s="424">
        <f ca="1">IF(ISERR(H300/'E. State-Level Infrastr&amp;Support'!H37),"",IF(H300/'E. State-Level Infrastr&amp;Support'!H37&gt;0,H300/'E. State-Level Infrastr&amp;Support'!H37,""))</f>
        <v>3.4043883745824587E-2</v>
      </c>
      <c r="I301" s="424">
        <f ca="1">IF(ISERR(I300/'E. State-Level Infrastr&amp;Support'!I37),"",IF(I300/'E. State-Level Infrastr&amp;Support'!I37&gt;0,I300/'E. State-Level Infrastr&amp;Support'!I37,""))</f>
        <v>3.3687400186961272E-2</v>
      </c>
      <c r="J301" s="424">
        <f ca="1">IF(ISERR(J300/'E. State-Level Infrastr&amp;Support'!J37),"",IF(J300/'E. State-Level Infrastr&amp;Support'!J37&gt;0,J300/'E. State-Level Infrastr&amp;Support'!J37,""))</f>
        <v>3.371720844902492E-2</v>
      </c>
      <c r="K301" s="424">
        <f ca="1">IF(ISERR(K300/'E. State-Level Infrastr&amp;Support'!K37),"",IF(K300/'E. State-Level Infrastr&amp;Support'!K37&gt;0,K300/'E. State-Level Infrastr&amp;Support'!K37,""))</f>
        <v>3.4144297221339194E-2</v>
      </c>
      <c r="L301" s="424">
        <f ca="1">IF(ISERR(L300/'E. State-Level Infrastr&amp;Support'!L37),"",IF(L300/'E. State-Level Infrastr&amp;Support'!L37&gt;0,L300/'E. State-Level Infrastr&amp;Support'!L37,""))</f>
        <v>3.412718862074534E-2</v>
      </c>
      <c r="M301" s="424">
        <f ca="1">IF(ISERR(M300/'E. State-Level Infrastr&amp;Support'!M37),"",IF(M300/'E. State-Level Infrastr&amp;Support'!M37&gt;0,M300/'E. State-Level Infrastr&amp;Support'!M37,""))</f>
        <v>3.4567608288948969E-2</v>
      </c>
      <c r="N301" s="424">
        <f ca="1">IF(ISERR(N300/'E. State-Level Infrastr&amp;Support'!N37),"",IF(N300/'E. State-Level Infrastr&amp;Support'!N37&gt;0,N300/'E. State-Level Infrastr&amp;Support'!N37,""))</f>
        <v>3.538317674536761E-2</v>
      </c>
      <c r="O301" s="424">
        <f ca="1">IF(ISERR(O300/'E. State-Level Infrastr&amp;Support'!O37),"",IF(O300/'E. State-Level Infrastr&amp;Support'!O37&gt;0,O300/'E. State-Level Infrastr&amp;Support'!O37,""))</f>
        <v>3.5000905520086938E-2</v>
      </c>
      <c r="P301" s="190">
        <f ca="1">IF(ISERR(P300/'E. State-Level Infrastr&amp;Support'!P37),"",IF(P300/'E. State-Level Infrastr&amp;Support'!P37&gt;0,P300/'E. State-Level Infrastr&amp;Support'!P37,""))</f>
        <v>3.4471124963219434E-2</v>
      </c>
    </row>
    <row r="302" spans="1:16" x14ac:dyDescent="0.3">
      <c r="A302" s="1"/>
      <c r="B302" s="179"/>
      <c r="C302" s="9"/>
    </row>
    <row r="303" spans="1:16" ht="15.6" x14ac:dyDescent="0.3">
      <c r="A303" s="1"/>
      <c r="B303" s="253" t="s">
        <v>319</v>
      </c>
      <c r="C303" s="264"/>
    </row>
    <row r="304" spans="1:16" s="1" customFormat="1" ht="15" outlineLevel="1" thickBot="1" x14ac:dyDescent="0.35">
      <c r="B304" s="26"/>
      <c r="C304" s="25"/>
      <c r="D304" s="290"/>
      <c r="E304" s="242"/>
      <c r="F304" s="243"/>
      <c r="G304" s="243"/>
      <c r="H304" s="243"/>
      <c r="I304" s="243"/>
      <c r="J304" s="242" t="s">
        <v>59</v>
      </c>
      <c r="K304" s="243"/>
      <c r="L304" s="243"/>
      <c r="M304" s="243"/>
      <c r="N304" s="243"/>
      <c r="O304" s="244"/>
      <c r="P304" s="161"/>
    </row>
    <row r="305" spans="1:17" s="1" customFormat="1" outlineLevel="1" x14ac:dyDescent="0.3">
      <c r="B305" s="165"/>
      <c r="C305" s="217"/>
      <c r="D305" s="290"/>
      <c r="E305" s="51">
        <v>0</v>
      </c>
      <c r="F305" s="51">
        <v>1</v>
      </c>
      <c r="G305" s="51">
        <v>2</v>
      </c>
      <c r="H305" s="51">
        <v>3</v>
      </c>
      <c r="I305" s="51">
        <v>4</v>
      </c>
      <c r="J305" s="51">
        <v>5</v>
      </c>
      <c r="K305" s="51">
        <v>6</v>
      </c>
      <c r="L305" s="51">
        <v>7</v>
      </c>
      <c r="M305" s="51">
        <v>8</v>
      </c>
      <c r="N305" s="51">
        <v>9</v>
      </c>
      <c r="O305" s="77">
        <v>10</v>
      </c>
      <c r="P305" s="250" t="s">
        <v>2</v>
      </c>
    </row>
    <row r="306" spans="1:17" s="1" customFormat="1" outlineLevel="1" x14ac:dyDescent="0.3">
      <c r="B306" s="165"/>
      <c r="C306" s="59" t="s">
        <v>698</v>
      </c>
      <c r="D306" s="290"/>
      <c r="E306" s="411" t="str">
        <f>IF('E. State-Level Infrastr&amp;Support'!E25+SUM('E. State-Level Infrastr&amp;Support'!E14:E16)&gt;0,'E. State-Level Infrastr&amp;Support'!E25+SUM('E. State-Level Infrastr&amp;Support'!E14:E16),"")</f>
        <v/>
      </c>
      <c r="F306" s="411">
        <f ca="1">IF('E. State-Level Infrastr&amp;Support'!F25+SUM('E. State-Level Infrastr&amp;Support'!F14:F16)&gt;0,'E. State-Level Infrastr&amp;Support'!F25+SUM('E. State-Level Infrastr&amp;Support'!F14:F16),"")</f>
        <v>167944.80000000002</v>
      </c>
      <c r="G306" s="411">
        <f ca="1">IF('E. State-Level Infrastr&amp;Support'!G25+SUM('E. State-Level Infrastr&amp;Support'!G14:G16)&gt;0,'E. State-Level Infrastr&amp;Support'!G25+SUM('E. State-Level Infrastr&amp;Support'!G14:G16),"")</f>
        <v>98064.320000000007</v>
      </c>
      <c r="H306" s="411">
        <f ca="1">IF('E. State-Level Infrastr&amp;Support'!H25+SUM('E. State-Level Infrastr&amp;Support'!H14:H16)&gt;0,'E. State-Level Infrastr&amp;Support'!H25+SUM('E. State-Level Infrastr&amp;Support'!H14:H16),"")</f>
        <v>33875.338700799999</v>
      </c>
      <c r="I306" s="411">
        <f ca="1">IF('E. State-Level Infrastr&amp;Support'!I25+SUM('E. State-Level Infrastr&amp;Support'!I14:I16)&gt;0,'E. State-Level Infrastr&amp;Support'!I25+SUM('E. State-Level Infrastr&amp;Support'!I14:I16),"")</f>
        <v>34417.3441200128</v>
      </c>
      <c r="J306" s="411">
        <f ca="1">IF('E. State-Level Infrastr&amp;Support'!J25+SUM('E. State-Level Infrastr&amp;Support'!J14:J16)&gt;0,'E. State-Level Infrastr&amp;Support'!J25+SUM('E. State-Level Infrastr&amp;Support'!J14:J16),"")</f>
        <v>34968.021625933012</v>
      </c>
      <c r="K306" s="411">
        <f ca="1">IF('E. State-Level Infrastr&amp;Support'!K25+SUM('E. State-Level Infrastr&amp;Support'!K14:K16)&gt;0,'E. State-Level Infrastr&amp;Support'!K25+SUM('E. State-Level Infrastr&amp;Support'!K14:K16),"")</f>
        <v>37617.36349970958</v>
      </c>
      <c r="L306" s="411">
        <f ca="1">IF('E. State-Level Infrastr&amp;Support'!L25+SUM('E. State-Level Infrastr&amp;Support'!L14:L16)&gt;0,'E. State-Level Infrastr&amp;Support'!L25+SUM('E. State-Level Infrastr&amp;Support'!L14:L16),"")</f>
        <v>40342.532499910762</v>
      </c>
      <c r="M306" s="411">
        <f ca="1">IF('E. State-Level Infrastr&amp;Support'!M25+SUM('E. State-Level Infrastr&amp;Support'!M14:M16)&gt;0,'E. State-Level Infrastr&amp;Support'!M25+SUM('E. State-Level Infrastr&amp;Support'!M14:M16),"")</f>
        <v>40988.013019909333</v>
      </c>
      <c r="N306" s="411">
        <f ca="1">IF('E. State-Level Infrastr&amp;Support'!N25+SUM('E. State-Level Infrastr&amp;Support'!N14:N16)&gt;0,'E. State-Level Infrastr&amp;Support'!N25+SUM('E. State-Level Infrastr&amp;Support'!N14:N16),"")</f>
        <v>41643.821228227884</v>
      </c>
      <c r="O306" s="411">
        <f ca="1">IF('E. State-Level Infrastr&amp;Support'!O25+SUM('E. State-Level Infrastr&amp;Support'!O14:O16)&gt;0,'E. State-Level Infrastr&amp;Support'!O25+SUM('E. State-Level Infrastr&amp;Support'!O14:O16),"")</f>
        <v>42310.122367879536</v>
      </c>
      <c r="P306" s="194">
        <f ca="1">SUM(E306:O306)</f>
        <v>572171.67706238281</v>
      </c>
    </row>
    <row r="307" spans="1:17" ht="15" outlineLevel="1" thickBot="1" x14ac:dyDescent="0.35">
      <c r="B307" s="27"/>
      <c r="C307" s="7" t="s">
        <v>699</v>
      </c>
      <c r="E307" s="424" t="str">
        <f ca="1">IF(ISERR(E306/'E. State-Level Infrastr&amp;Support'!E37),"",IF(E306/'E. State-Level Infrastr&amp;Support'!E37&gt;0,E306/'E. State-Level Infrastr&amp;Support'!E37,""))</f>
        <v/>
      </c>
      <c r="F307" s="424">
        <f ca="1">IF(ISERR(F306/'E. State-Level Infrastr&amp;Support'!F37),"",IF(F306/'E. State-Level Infrastr&amp;Support'!F37&gt;0,F306/'E. State-Level Infrastr&amp;Support'!F37,""))</f>
        <v>4.228144801346901E-2</v>
      </c>
      <c r="G307" s="424">
        <f ca="1">IF(ISERR(G306/'E. State-Level Infrastr&amp;Support'!G37),"",IF(G306/'E. State-Level Infrastr&amp;Support'!G37&gt;0,G306/'E. State-Level Infrastr&amp;Support'!G37,""))</f>
        <v>2.1401237489697703E-2</v>
      </c>
      <c r="H307" s="424">
        <f ca="1">IF(ISERR(H306/'E. State-Level Infrastr&amp;Support'!H37),"",IF(H306/'E. State-Level Infrastr&amp;Support'!H37&gt;0,H306/'E. State-Level Infrastr&amp;Support'!H37,""))</f>
        <v>7.6335817076718781E-3</v>
      </c>
      <c r="I307" s="424">
        <f ca="1">IF(ISERR(I306/'E. State-Level Infrastr&amp;Support'!I37),"",IF(I306/'E. State-Level Infrastr&amp;Support'!I37&gt;0,I306/'E. State-Level Infrastr&amp;Support'!I37,""))</f>
        <v>7.334701894431069E-3</v>
      </c>
      <c r="J307" s="424">
        <f ca="1">IF(ISERR(J306/'E. State-Level Infrastr&amp;Support'!J37),"",IF(J306/'E. State-Level Infrastr&amp;Support'!J37&gt;0,J306/'E. State-Level Infrastr&amp;Support'!J37,""))</f>
        <v>7.2363178266013619E-3</v>
      </c>
      <c r="K307" s="424">
        <f ca="1">IF(ISERR(K306/'E. State-Level Infrastr&amp;Support'!K37),"",IF(K306/'E. State-Level Infrastr&amp;Support'!K37&gt;0,K306/'E. State-Level Infrastr&amp;Support'!K37,""))</f>
        <v>7.5435075256447054E-3</v>
      </c>
      <c r="L307" s="424">
        <f ca="1">IF(ISERR(L306/'E. State-Level Infrastr&amp;Support'!L37),"",IF(L306/'E. State-Level Infrastr&amp;Support'!L37&gt;0,L306/'E. State-Level Infrastr&amp;Support'!L37,""))</f>
        <v>7.8495795425862162E-3</v>
      </c>
      <c r="M307" s="424">
        <f ca="1">IF(ISERR(M306/'E. State-Level Infrastr&amp;Support'!M37),"",IF(M306/'E. State-Level Infrastr&amp;Support'!M37&gt;0,M306/'E. State-Level Infrastr&amp;Support'!M37,""))</f>
        <v>7.7388568014329154E-3</v>
      </c>
      <c r="N307" s="424">
        <f ca="1">IF(ISERR(N306/'E. State-Level Infrastr&amp;Support'!N37),"",IF(N306/'E. State-Level Infrastr&amp;Support'!N37&gt;0,N306/'E. State-Level Infrastr&amp;Support'!N37,""))</f>
        <v>7.817213466999819E-3</v>
      </c>
      <c r="O307" s="424">
        <f ca="1">IF(ISERR(O306/'E. State-Level Infrastr&amp;Support'!O37),"",IF(O306/'E. State-Level Infrastr&amp;Support'!O37&gt;0,O306/'E. State-Level Infrastr&amp;Support'!O37,""))</f>
        <v>7.5344823451111414E-3</v>
      </c>
      <c r="P307" s="190">
        <f ca="1">IF(ISERR(P306/'E. State-Level Infrastr&amp;Support'!P37),"",IF(P306/'E. State-Level Infrastr&amp;Support'!P37&gt;0,P306/'E. State-Level Infrastr&amp;Support'!P37,""))</f>
        <v>1.092437478265073E-2</v>
      </c>
    </row>
    <row r="308" spans="1:17" x14ac:dyDescent="0.3">
      <c r="A308" s="1"/>
      <c r="B308" s="179"/>
      <c r="C308" s="9"/>
    </row>
    <row r="309" spans="1:17" ht="15.6" x14ac:dyDescent="0.3">
      <c r="A309" s="1"/>
      <c r="B309" s="253" t="s">
        <v>320</v>
      </c>
      <c r="C309" s="264"/>
    </row>
    <row r="310" spans="1:17" ht="15" outlineLevel="1" thickBot="1" x14ac:dyDescent="0.35">
      <c r="B310" s="26"/>
      <c r="C310" s="162"/>
      <c r="E310" s="268"/>
      <c r="F310" s="242" t="s">
        <v>58</v>
      </c>
      <c r="G310" s="269"/>
    </row>
    <row r="311" spans="1:17" s="1" customFormat="1" ht="28.8" outlineLevel="1" x14ac:dyDescent="0.3">
      <c r="B311" s="165"/>
      <c r="C311" s="217"/>
      <c r="D311" s="290"/>
      <c r="E311" s="35" t="s">
        <v>18</v>
      </c>
      <c r="F311" s="35" t="s">
        <v>20</v>
      </c>
      <c r="G311" s="35" t="s">
        <v>19</v>
      </c>
      <c r="H311" s="160"/>
      <c r="I311" s="160"/>
      <c r="J311" s="160"/>
      <c r="K311" s="160"/>
      <c r="L311" s="160"/>
      <c r="M311" s="160"/>
      <c r="N311" s="160"/>
      <c r="O311" s="160"/>
      <c r="P311" s="250" t="s">
        <v>2</v>
      </c>
    </row>
    <row r="312" spans="1:17" s="1" customFormat="1" outlineLevel="1" x14ac:dyDescent="0.3">
      <c r="B312" s="165"/>
      <c r="C312" s="7" t="s">
        <v>624</v>
      </c>
      <c r="D312" s="280" t="b">
        <f>IF(COUNTIF(E312:O312,"&lt;0")=0,TRUE,FALSE)</f>
        <v>1</v>
      </c>
      <c r="E312" s="12">
        <v>0</v>
      </c>
      <c r="F312" s="12">
        <v>42000</v>
      </c>
      <c r="G312" s="12">
        <v>0</v>
      </c>
      <c r="H312" s="160"/>
      <c r="I312" s="160"/>
      <c r="J312" s="160"/>
      <c r="K312" s="160"/>
      <c r="L312" s="160"/>
      <c r="M312" s="160"/>
      <c r="N312" s="160"/>
      <c r="O312" s="160"/>
      <c r="P312" s="174">
        <f>AVERAGE(E312:G312)</f>
        <v>14000</v>
      </c>
    </row>
    <row r="313" spans="1:17" s="1" customFormat="1" ht="15" outlineLevel="1" thickBot="1" x14ac:dyDescent="0.35">
      <c r="B313" s="165"/>
      <c r="C313" s="222"/>
      <c r="D313" s="290"/>
      <c r="E313" s="242"/>
      <c r="F313" s="243"/>
      <c r="G313" s="243"/>
      <c r="H313" s="243"/>
      <c r="I313" s="243"/>
      <c r="J313" s="242" t="s">
        <v>59</v>
      </c>
      <c r="K313" s="243"/>
      <c r="L313" s="243"/>
      <c r="M313" s="243"/>
      <c r="N313" s="243"/>
      <c r="O313" s="244"/>
      <c r="P313" s="161"/>
    </row>
    <row r="314" spans="1:17" s="1" customFormat="1" ht="15" outlineLevel="1" thickBot="1" x14ac:dyDescent="0.35">
      <c r="B314" s="165"/>
      <c r="C314" s="223"/>
      <c r="D314" s="290"/>
      <c r="E314" s="51">
        <v>0</v>
      </c>
      <c r="F314" s="51">
        <v>1</v>
      </c>
      <c r="G314" s="51">
        <v>2</v>
      </c>
      <c r="H314" s="51">
        <v>3</v>
      </c>
      <c r="I314" s="51">
        <v>4</v>
      </c>
      <c r="J314" s="51">
        <v>5</v>
      </c>
      <c r="K314" s="51">
        <v>6</v>
      </c>
      <c r="L314" s="51">
        <v>7</v>
      </c>
      <c r="M314" s="51">
        <v>8</v>
      </c>
      <c r="N314" s="51">
        <v>9</v>
      </c>
      <c r="O314" s="77">
        <v>10</v>
      </c>
      <c r="P314" s="250" t="s">
        <v>2</v>
      </c>
    </row>
    <row r="315" spans="1:17" s="1" customFormat="1" outlineLevel="1" x14ac:dyDescent="0.3">
      <c r="B315" s="165"/>
      <c r="C315" s="223" t="s">
        <v>1074</v>
      </c>
      <c r="D315" s="280" t="b">
        <f ca="1">IF(AND(COUNTIF(E315:O315,"&lt;0")=0,COUNTIF(E315:O315,"&gt;1")=0,COUNT(E315:O315)&gt;=COUNT(E116:O116)),TRUE,FALSE)</f>
        <v>1</v>
      </c>
      <c r="E315" s="744">
        <v>0</v>
      </c>
      <c r="F315" s="744">
        <v>0</v>
      </c>
      <c r="G315" s="744">
        <v>0.75</v>
      </c>
      <c r="H315" s="744">
        <v>0.75</v>
      </c>
      <c r="I315" s="744">
        <v>0.75</v>
      </c>
      <c r="J315" s="744">
        <v>0.75</v>
      </c>
      <c r="K315" s="744">
        <v>0.75</v>
      </c>
      <c r="L315" s="744">
        <v>0.75</v>
      </c>
      <c r="M315" s="744">
        <v>0.75</v>
      </c>
      <c r="N315" s="744">
        <v>0.75</v>
      </c>
      <c r="O315" s="744">
        <v>0.75</v>
      </c>
      <c r="P315" s="146">
        <f>IF(ISNA(INDEX(E315:O315,MATCH(9.99999999999999E+307,E315:O315))),"",INDEX(E315:O315,MATCH(9.99999999999999E+307,E315:O315)))</f>
        <v>0.75</v>
      </c>
      <c r="Q315" s="754"/>
    </row>
    <row r="316" spans="1:17" s="1" customFormat="1" outlineLevel="1" x14ac:dyDescent="0.3">
      <c r="B316" s="165"/>
      <c r="C316" s="11" t="s">
        <v>1075</v>
      </c>
      <c r="D316" s="290"/>
      <c r="E316" s="412" t="str">
        <f>IF('D. Annual Schedule Tables'!E790&gt;0,ROUND('D. Annual Schedule Tables'!E787*E315,0)+ROUND('D. Annual Schedule Tables'!E788*E315,0)+ROUND('D. Annual Schedule Tables'!E789*E315,0),"")</f>
        <v/>
      </c>
      <c r="F316" s="412">
        <f ca="1">IF('D. Annual Schedule Tables'!F790&gt;0,ROUND('D. Annual Schedule Tables'!F787*F315,0)+ROUND('D. Annual Schedule Tables'!F788*F315,0)+ROUND('D. Annual Schedule Tables'!F789*F315,0),"")</f>
        <v>0</v>
      </c>
      <c r="G316" s="412">
        <f ca="1">IF('D. Annual Schedule Tables'!G790&gt;0,ROUND('D. Annual Schedule Tables'!G787*G315,0)+ROUND('D. Annual Schedule Tables'!G788*G315,0)+ROUND('D. Annual Schedule Tables'!G789*G315,0),"")</f>
        <v>6</v>
      </c>
      <c r="H316" s="412">
        <f ca="1">IF('D. Annual Schedule Tables'!H790&gt;0,ROUND('D. Annual Schedule Tables'!H787*H315,0)+ROUND('D. Annual Schedule Tables'!H788*H315,0)+ROUND('D. Annual Schedule Tables'!H789*H315,0),"")</f>
        <v>5</v>
      </c>
      <c r="I316" s="412">
        <f ca="1">IF('D. Annual Schedule Tables'!I790&gt;0,ROUND('D. Annual Schedule Tables'!I787*I315,0)+ROUND('D. Annual Schedule Tables'!I788*I315,0)+ROUND('D. Annual Schedule Tables'!I789*I315,0),"")</f>
        <v>6</v>
      </c>
      <c r="J316" s="412">
        <f ca="1">IF('D. Annual Schedule Tables'!J790&gt;0,ROUND('D. Annual Schedule Tables'!J787*J315,0)+ROUND('D. Annual Schedule Tables'!J788*J315,0)+ROUND('D. Annual Schedule Tables'!J789*J315,0),"")</f>
        <v>6</v>
      </c>
      <c r="K316" s="412">
        <f ca="1">IF('D. Annual Schedule Tables'!K790&gt;0,ROUND('D. Annual Schedule Tables'!K787*K315,0)+ROUND('D. Annual Schedule Tables'!K788*K315,0)+ROUND('D. Annual Schedule Tables'!K789*K315,0),"")</f>
        <v>6</v>
      </c>
      <c r="L316" s="412">
        <f ca="1">IF('D. Annual Schedule Tables'!L790&gt;0,ROUND('D. Annual Schedule Tables'!L787*L315,0)+ROUND('D. Annual Schedule Tables'!L788*L315,0)+ROUND('D. Annual Schedule Tables'!L789*L315,0),"")</f>
        <v>6</v>
      </c>
      <c r="M316" s="412">
        <f ca="1">IF('D. Annual Schedule Tables'!M790&gt;0,ROUND('D. Annual Schedule Tables'!M787*M315,0)+ROUND('D. Annual Schedule Tables'!M788*M315,0)+ROUND('D. Annual Schedule Tables'!M789*M315,0),"")</f>
        <v>6</v>
      </c>
      <c r="N316" s="412">
        <f ca="1">IF('D. Annual Schedule Tables'!N790&gt;0,ROUND('D. Annual Schedule Tables'!N787*N315,0)+ROUND('D. Annual Schedule Tables'!N788*N315,0)+ROUND('D. Annual Schedule Tables'!N789*N315,0),"")</f>
        <v>5</v>
      </c>
      <c r="O316" s="412">
        <f ca="1">IF('D. Annual Schedule Tables'!O790&gt;0,ROUND('D. Annual Schedule Tables'!O787*O315,0)+ROUND('D. Annual Schedule Tables'!O788*O315,0)+ROUND('D. Annual Schedule Tables'!O789*O315,0),"")</f>
        <v>6</v>
      </c>
      <c r="P316" s="436">
        <f ca="1">SUM(E316:O316)</f>
        <v>52</v>
      </c>
    </row>
    <row r="317" spans="1:17" s="1" customFormat="1" outlineLevel="1" x14ac:dyDescent="0.3">
      <c r="B317" s="165"/>
      <c r="C317" s="11" t="s">
        <v>180</v>
      </c>
      <c r="D317" s="290"/>
      <c r="E317" s="411" t="str">
        <f>IF('E. State-Level Infrastr&amp;Support'!E32&gt;0,'E. State-Level Infrastr&amp;Support'!E32,"")</f>
        <v/>
      </c>
      <c r="F317" s="411" t="str">
        <f ca="1">IF('E. State-Level Infrastr&amp;Support'!F32&gt;0,'E. State-Level Infrastr&amp;Support'!F32,"")</f>
        <v/>
      </c>
      <c r="G317" s="411">
        <f ca="1">IF('E. State-Level Infrastr&amp;Support'!G32&gt;0,'E. State-Level Infrastr&amp;Support'!G32,"")</f>
        <v>260128.51200000002</v>
      </c>
      <c r="H317" s="411">
        <f ca="1">IF('E. State-Level Infrastr&amp;Support'!H32&gt;0,'E. State-Level Infrastr&amp;Support'!H32,"")</f>
        <v>220242.14016000001</v>
      </c>
      <c r="I317" s="411">
        <f ca="1">IF('E. State-Level Infrastr&amp;Support'!I32&gt;0,'E. State-Level Infrastr&amp;Support'!I32,"")</f>
        <v>268519.21728307201</v>
      </c>
      <c r="J317" s="411">
        <f ca="1">IF('E. State-Level Infrastr&amp;Support'!J32&gt;0,'E. State-Level Infrastr&amp;Support'!J32,"")</f>
        <v>272815.52475960116</v>
      </c>
      <c r="K317" s="411">
        <f ca="1">IF('E. State-Level Infrastr&amp;Support'!K32&gt;0,'E. State-Level Infrastr&amp;Support'!K32,"")</f>
        <v>277180.57315575477</v>
      </c>
      <c r="L317" s="411">
        <f ca="1">IF('E. State-Level Infrastr&amp;Support'!L32&gt;0,'E. State-Level Infrastr&amp;Support'!L32,"")</f>
        <v>281615.4623262469</v>
      </c>
      <c r="M317" s="411">
        <f ca="1">IF('E. State-Level Infrastr&amp;Support'!M32&gt;0,'E. State-Level Infrastr&amp;Support'!M32,"")</f>
        <v>286121.30972346681</v>
      </c>
      <c r="N317" s="411">
        <f ca="1">IF('E. State-Level Infrastr&amp;Support'!N32&gt;0,'E. State-Level Infrastr&amp;Support'!N32,"")</f>
        <v>242249.3755658686</v>
      </c>
      <c r="O317" s="411">
        <f ca="1">IF('E. State-Level Infrastr&amp;Support'!O32&gt;0,'E. State-Level Infrastr&amp;Support'!O32,"")</f>
        <v>295350.43868990702</v>
      </c>
      <c r="P317" s="194">
        <f ca="1">SUM(E317:O317)</f>
        <v>2404222.5536639174</v>
      </c>
    </row>
    <row r="318" spans="1:17" ht="15" outlineLevel="1" thickBot="1" x14ac:dyDescent="0.35">
      <c r="B318" s="27"/>
      <c r="C318" s="7" t="s">
        <v>186</v>
      </c>
      <c r="E318" s="424" t="str">
        <f ca="1">IF(ISERR(E317/'E. State-Level Infrastr&amp;Support'!E37),"",IF(E317/'E. State-Level Infrastr&amp;Support'!E37&gt;0,E317/'E. State-Level Infrastr&amp;Support'!E37,""))</f>
        <v/>
      </c>
      <c r="F318" s="424" t="str">
        <f ca="1">IF(ISERR(F317/'E. State-Level Infrastr&amp;Support'!F37),"",IF(F317/'E. State-Level Infrastr&amp;Support'!F37&gt;0,F317/'E. State-Level Infrastr&amp;Support'!F37,""))</f>
        <v/>
      </c>
      <c r="G318" s="424">
        <f ca="1">IF(ISERR(G317/'E. State-Level Infrastr&amp;Support'!G37),"",IF(G317/'E. State-Level Infrastr&amp;Support'!G37&gt;0,G317/'E. State-Level Infrastr&amp;Support'!G37,""))</f>
        <v>5.6769598393724433E-2</v>
      </c>
      <c r="H318" s="424">
        <f ca="1">IF(ISERR(H317/'E. State-Level Infrastr&amp;Support'!H37),"",IF(H317/'E. State-Level Infrastr&amp;Support'!H37&gt;0,H317/'E. State-Level Infrastr&amp;Support'!H37,""))</f>
        <v>4.9630097789817168E-2</v>
      </c>
      <c r="I318" s="424">
        <f ca="1">IF(ISERR(I317/'E. State-Level Infrastr&amp;Support'!I37),"",IF(I317/'E. State-Level Infrastr&amp;Support'!I37&gt;0,I317/'E. State-Level Infrastr&amp;Support'!I37,""))</f>
        <v>5.7224299609802763E-2</v>
      </c>
      <c r="J318" s="424">
        <f ca="1">IF(ISERR(J317/'E. State-Level Infrastr&amp;Support'!J37),"",IF(J317/'E. State-Level Infrastr&amp;Support'!J37&gt;0,J317/'E. State-Level Infrastr&amp;Support'!J37,""))</f>
        <v>5.6456721123948693E-2</v>
      </c>
      <c r="K318" s="424">
        <f ca="1">IF(ISERR(K317/'E. State-Level Infrastr&amp;Support'!K37),"",IF(K317/'E. State-Level Infrastr&amp;Support'!K37&gt;0,K317/'E. State-Level Infrastr&amp;Support'!K37,""))</f>
        <v>5.5583739662645196E-2</v>
      </c>
      <c r="L318" s="424">
        <f ca="1">IF(ISERR(L317/'E. State-Level Infrastr&amp;Support'!L37),"",IF(L317/'E. State-Level Infrastr&amp;Support'!L37&gt;0,L317/'E. State-Level Infrastr&amp;Support'!L37,""))</f>
        <v>5.4794848884535369E-2</v>
      </c>
      <c r="M318" s="424">
        <f ca="1">IF(ISERR(M317/'E. State-Level Infrastr&amp;Support'!M37),"",IF(M317/'E. State-Level Infrastr&amp;Support'!M37&gt;0,M317/'E. State-Level Infrastr&amp;Support'!M37,""))</f>
        <v>5.4021936674822565E-2</v>
      </c>
      <c r="N318" s="424">
        <f ca="1">IF(ISERR(N317/'E. State-Level Infrastr&amp;Support'!N37),"",IF(N317/'E. State-Level Infrastr&amp;Support'!N37&gt;0,N317/'E. State-Level Infrastr&amp;Support'!N37,""))</f>
        <v>4.547409496038677E-2</v>
      </c>
      <c r="O318" s="424">
        <f ca="1">IF(ISERR(O317/'E. State-Level Infrastr&amp;Support'!O37),"",IF(O317/'E. State-Level Infrastr&amp;Support'!O37&gt;0,O317/'E. State-Level Infrastr&amp;Support'!O37,""))</f>
        <v>5.2595278420166418E-2</v>
      </c>
      <c r="P318" s="190">
        <f ca="1">IF(ISERR(P317/'E. State-Level Infrastr&amp;Support'!P37),"",IF(P317/'E. State-Level Infrastr&amp;Support'!P37&gt;0,P317/'E. State-Level Infrastr&amp;Support'!P37,""))</f>
        <v>4.5903405026919315E-2</v>
      </c>
    </row>
    <row r="319" spans="1:17" x14ac:dyDescent="0.3">
      <c r="A319" s="1"/>
      <c r="B319" s="179"/>
      <c r="C319" s="9"/>
    </row>
    <row r="320" spans="1:17" ht="15.6" x14ac:dyDescent="0.3">
      <c r="A320" s="1"/>
      <c r="B320" s="253" t="s">
        <v>321</v>
      </c>
      <c r="C320" s="264"/>
    </row>
    <row r="321" spans="1:17" s="1" customFormat="1" ht="15" outlineLevel="1" thickBot="1" x14ac:dyDescent="0.35">
      <c r="B321" s="165"/>
      <c r="C321" s="164"/>
      <c r="D321" s="290"/>
      <c r="E321" s="242"/>
      <c r="F321" s="243"/>
      <c r="G321" s="243"/>
      <c r="H321" s="243"/>
      <c r="I321" s="243"/>
      <c r="J321" s="242" t="s">
        <v>59</v>
      </c>
      <c r="K321" s="243"/>
      <c r="L321" s="243"/>
      <c r="M321" s="243"/>
      <c r="N321" s="243"/>
      <c r="O321" s="244"/>
      <c r="P321" s="161"/>
    </row>
    <row r="322" spans="1:17" s="1" customFormat="1" outlineLevel="1" x14ac:dyDescent="0.3">
      <c r="B322" s="165"/>
      <c r="C322" s="217"/>
      <c r="D322" s="290"/>
      <c r="E322" s="51">
        <v>0</v>
      </c>
      <c r="F322" s="51">
        <v>1</v>
      </c>
      <c r="G322" s="51">
        <v>2</v>
      </c>
      <c r="H322" s="51">
        <v>3</v>
      </c>
      <c r="I322" s="51">
        <v>4</v>
      </c>
      <c r="J322" s="51">
        <v>5</v>
      </c>
      <c r="K322" s="51">
        <v>6</v>
      </c>
      <c r="L322" s="51">
        <v>7</v>
      </c>
      <c r="M322" s="51">
        <v>8</v>
      </c>
      <c r="N322" s="51">
        <v>9</v>
      </c>
      <c r="O322" s="77">
        <v>10</v>
      </c>
      <c r="P322" s="250" t="s">
        <v>2</v>
      </c>
    </row>
    <row r="323" spans="1:17" s="1" customFormat="1" outlineLevel="1" x14ac:dyDescent="0.3">
      <c r="B323" s="165"/>
      <c r="C323" s="7" t="s">
        <v>182</v>
      </c>
      <c r="D323" s="280" t="b">
        <f>IF(COUNTIF(F323:O323,"&lt;0")=0,TRUE,FALSE)</f>
        <v>1</v>
      </c>
      <c r="E323" s="427">
        <v>250000</v>
      </c>
      <c r="F323" s="427">
        <v>250000</v>
      </c>
      <c r="G323" s="427">
        <v>250000</v>
      </c>
      <c r="H323" s="427">
        <v>250000</v>
      </c>
      <c r="I323" s="427">
        <v>250000</v>
      </c>
      <c r="J323" s="427">
        <v>250000</v>
      </c>
      <c r="K323" s="427">
        <v>250000</v>
      </c>
      <c r="L323" s="427">
        <v>250000</v>
      </c>
      <c r="M323" s="427">
        <v>250000</v>
      </c>
      <c r="N323" s="427">
        <v>250000</v>
      </c>
      <c r="O323" s="428">
        <v>250000</v>
      </c>
      <c r="P323" s="152">
        <f>SUM(E323:O323)</f>
        <v>2750000</v>
      </c>
      <c r="Q323" s="754"/>
    </row>
    <row r="324" spans="1:17" s="1" customFormat="1" outlineLevel="1" x14ac:dyDescent="0.3">
      <c r="B324" s="165"/>
      <c r="C324" s="7" t="s">
        <v>183</v>
      </c>
      <c r="D324" s="280" t="b">
        <f>IF(COUNTIF(F324:O324,"&lt;0")=0,TRUE,FALSE)</f>
        <v>1</v>
      </c>
      <c r="E324" s="427"/>
      <c r="F324" s="427"/>
      <c r="G324" s="427"/>
      <c r="H324" s="427"/>
      <c r="I324" s="427"/>
      <c r="J324" s="427"/>
      <c r="K324" s="427"/>
      <c r="L324" s="427"/>
      <c r="M324" s="427"/>
      <c r="N324" s="427"/>
      <c r="O324" s="428"/>
      <c r="P324" s="152">
        <f>SUM(E324:O324)</f>
        <v>0</v>
      </c>
    </row>
    <row r="325" spans="1:17" s="1" customFormat="1" outlineLevel="1" x14ac:dyDescent="0.3">
      <c r="B325" s="165"/>
      <c r="C325" s="7" t="s">
        <v>184</v>
      </c>
      <c r="D325" s="280" t="b">
        <f>IF(COUNTIF(F325:O325,"&lt;0")=0,TRUE,FALSE)</f>
        <v>1</v>
      </c>
      <c r="E325" s="427"/>
      <c r="F325" s="427"/>
      <c r="G325" s="427"/>
      <c r="H325" s="427"/>
      <c r="I325" s="427"/>
      <c r="J325" s="427"/>
      <c r="K325" s="427"/>
      <c r="L325" s="427"/>
      <c r="M325" s="427"/>
      <c r="N325" s="427"/>
      <c r="O325" s="428"/>
      <c r="P325" s="152">
        <f>SUM(E325:O325)</f>
        <v>0</v>
      </c>
    </row>
    <row r="326" spans="1:17" s="1" customFormat="1" outlineLevel="1" x14ac:dyDescent="0.3">
      <c r="B326" s="165"/>
      <c r="C326" s="7" t="s">
        <v>181</v>
      </c>
      <c r="D326" s="280" t="b">
        <f>IF(COUNTIF(F326:O326,"&lt;0")=0,TRUE,FALSE)</f>
        <v>1</v>
      </c>
      <c r="E326" s="427"/>
      <c r="F326" s="427"/>
      <c r="G326" s="427"/>
      <c r="H326" s="427"/>
      <c r="I326" s="427"/>
      <c r="J326" s="427"/>
      <c r="K326" s="427"/>
      <c r="L326" s="427"/>
      <c r="M326" s="427"/>
      <c r="N326" s="427"/>
      <c r="O326" s="428"/>
      <c r="P326" s="152">
        <f>SUM(E326:O326)</f>
        <v>0</v>
      </c>
    </row>
    <row r="327" spans="1:17" s="1" customFormat="1" outlineLevel="1" x14ac:dyDescent="0.3">
      <c r="B327" s="165"/>
      <c r="C327" s="11" t="s">
        <v>185</v>
      </c>
      <c r="D327" s="290"/>
      <c r="E327" s="425">
        <f>IF(SUM(E323:E326)&gt;0,SUM(E323:E326),"")</f>
        <v>250000</v>
      </c>
      <c r="F327" s="425">
        <f>IF(SUM(F323:F326)&gt;0,SUM(F323:F326),"")</f>
        <v>250000</v>
      </c>
      <c r="G327" s="425">
        <f t="shared" ref="G327:O327" si="24">IF(SUM(G323:G326)&gt;0,SUM(G323:G326),"")</f>
        <v>250000</v>
      </c>
      <c r="H327" s="425">
        <f t="shared" si="24"/>
        <v>250000</v>
      </c>
      <c r="I327" s="425">
        <f t="shared" si="24"/>
        <v>250000</v>
      </c>
      <c r="J327" s="425">
        <f t="shared" si="24"/>
        <v>250000</v>
      </c>
      <c r="K327" s="425">
        <f t="shared" si="24"/>
        <v>250000</v>
      </c>
      <c r="L327" s="425">
        <f t="shared" si="24"/>
        <v>250000</v>
      </c>
      <c r="M327" s="425">
        <f t="shared" si="24"/>
        <v>250000</v>
      </c>
      <c r="N327" s="425">
        <f t="shared" si="24"/>
        <v>250000</v>
      </c>
      <c r="O327" s="426">
        <f t="shared" si="24"/>
        <v>250000</v>
      </c>
      <c r="P327" s="194">
        <f>SUM(E327:O327)</f>
        <v>2750000</v>
      </c>
    </row>
    <row r="328" spans="1:17" ht="15" outlineLevel="1" thickBot="1" x14ac:dyDescent="0.35">
      <c r="B328" s="27"/>
      <c r="C328" s="7" t="s">
        <v>190</v>
      </c>
      <c r="E328" s="424">
        <f ca="1">IF(ISERR(E327/'E. State-Level Infrastr&amp;Support'!E37),"",IF(E327/'E. State-Level Infrastr&amp;Support'!E37&gt;0,E327/'E. State-Level Infrastr&amp;Support'!E37,""))</f>
        <v>7.1555596061881277E-2</v>
      </c>
      <c r="F328" s="424">
        <f ca="1">IF(ISERR(F327/'E. State-Level Infrastr&amp;Support'!F37),"",IF(F327/'E. State-Level Infrastr&amp;Support'!F37&gt;0,F327/'E. State-Level Infrastr&amp;Support'!F37,""))</f>
        <v>6.2939501570559206E-2</v>
      </c>
      <c r="G328" s="424">
        <f ca="1">IF(ISERR(G327/'E. State-Level Infrastr&amp;Support'!G37),"",IF(G327/'E. State-Level Infrastr&amp;Support'!G37&gt;0,G327/'E. State-Level Infrastr&amp;Support'!G37,""))</f>
        <v>5.4559184955592671E-2</v>
      </c>
      <c r="H328" s="424">
        <f ca="1">IF(ISERR(H327/'E. State-Level Infrastr&amp;Support'!H37),"",IF(H327/'E. State-Level Infrastr&amp;Support'!H37&gt;0,H327/'E. State-Level Infrastr&amp;Support'!H37,""))</f>
        <v>5.6335833090073312E-2</v>
      </c>
      <c r="I328" s="424">
        <f ca="1">IF(ISERR(I327/'E. State-Level Infrastr&amp;Support'!I37),"",IF(I327/'E. State-Level Infrastr&amp;Support'!I37&gt;0,I327/'E. State-Level Infrastr&amp;Support'!I37,""))</f>
        <v>5.3277657544224394E-2</v>
      </c>
      <c r="J328" s="424">
        <f ca="1">IF(ISERR(J327/'E. State-Level Infrastr&amp;Support'!J37),"",IF(J327/'E. State-Level Infrastr&amp;Support'!J37&gt;0,J327/'E. State-Level Infrastr&amp;Support'!J37,""))</f>
        <v>5.1735253312377542E-2</v>
      </c>
      <c r="K328" s="424">
        <f ca="1">IF(ISERR(K327/'E. State-Level Infrastr&amp;Support'!K37),"",IF(K327/'E. State-Level Infrastr&amp;Support'!K37&gt;0,K327/'E. State-Level Infrastr&amp;Support'!K37,""))</f>
        <v>5.01331487898065E-2</v>
      </c>
      <c r="L328" s="424">
        <f ca="1">IF(ISERR(L327/'E. State-Level Infrastr&amp;Support'!L37),"",IF(L327/'E. State-Level Infrastr&amp;Support'!L37&gt;0,L327/'E. State-Level Infrastr&amp;Support'!L37,""))</f>
        <v>4.8643324155490116E-2</v>
      </c>
      <c r="M328" s="424">
        <f ca="1">IF(ISERR(M327/'E. State-Level Infrastr&amp;Support'!M37),"",IF(M327/'E. State-Level Infrastr&amp;Support'!M37&gt;0,M327/'E. State-Level Infrastr&amp;Support'!M37,""))</f>
        <v>4.7201951444156842E-2</v>
      </c>
      <c r="N328" s="424">
        <f ca="1">IF(ISERR(N327/'E. State-Level Infrastr&amp;Support'!N37),"",IF(N327/'E. State-Level Infrastr&amp;Support'!N37&gt;0,N327/'E. State-Level Infrastr&amp;Support'!N37,""))</f>
        <v>4.692901153425489E-2</v>
      </c>
      <c r="O328" s="424">
        <f ca="1">IF(ISERR(O327/'E. State-Level Infrastr&amp;Support'!O37),"",IF(O327/'E. State-Level Infrastr&amp;Support'!O37&gt;0,O327/'E. State-Level Infrastr&amp;Support'!O37,""))</f>
        <v>4.4519384035338283E-2</v>
      </c>
      <c r="P328" s="190">
        <f ca="1">IF(ISERR(P327/'E. State-Level Infrastr&amp;Support'!P37),"",IF(P327/'E. State-Level Infrastr&amp;Support'!P37&gt;0,P327/'E. State-Level Infrastr&amp;Support'!P37,""))</f>
        <v>5.2505273952967925E-2</v>
      </c>
    </row>
    <row r="329" spans="1:17" x14ac:dyDescent="0.3">
      <c r="A329" s="1"/>
      <c r="B329" s="179"/>
      <c r="C329" s="9"/>
    </row>
    <row r="330" spans="1:17" ht="16.2" thickBot="1" x14ac:dyDescent="0.35">
      <c r="A330" s="1"/>
      <c r="B330" s="253" t="s">
        <v>322</v>
      </c>
      <c r="C330" s="264"/>
    </row>
    <row r="331" spans="1:17" ht="15.6" outlineLevel="1" x14ac:dyDescent="0.3">
      <c r="B331" s="178"/>
      <c r="C331" s="224"/>
      <c r="D331" s="285"/>
      <c r="E331" s="252" t="s">
        <v>57</v>
      </c>
      <c r="P331" s="250" t="s">
        <v>2</v>
      </c>
    </row>
    <row r="332" spans="1:17" ht="15" outlineLevel="1" thickBot="1" x14ac:dyDescent="0.35">
      <c r="B332" s="26"/>
      <c r="C332" s="7" t="s">
        <v>192</v>
      </c>
      <c r="D332" s="280" t="b">
        <f>IF(E332&gt;=0,TRUE,FALSE)</f>
        <v>1</v>
      </c>
      <c r="E332" s="8">
        <v>0.6</v>
      </c>
      <c r="P332" s="175">
        <f>E332</f>
        <v>0.6</v>
      </c>
      <c r="Q332" s="754"/>
    </row>
    <row r="333" spans="1:17" outlineLevel="1" x14ac:dyDescent="0.3">
      <c r="B333" s="26"/>
      <c r="C333" s="222"/>
      <c r="D333" s="285"/>
      <c r="E333" s="242"/>
      <c r="F333" s="243"/>
      <c r="G333" s="243"/>
      <c r="H333" s="243"/>
      <c r="I333" s="243"/>
      <c r="J333" s="242" t="s">
        <v>59</v>
      </c>
      <c r="K333" s="243"/>
      <c r="L333" s="243"/>
      <c r="M333" s="243"/>
      <c r="N333" s="243"/>
      <c r="O333" s="244"/>
      <c r="P333"/>
    </row>
    <row r="334" spans="1:17" s="1" customFormat="1" ht="15" outlineLevel="1" thickBot="1" x14ac:dyDescent="0.35">
      <c r="B334" s="165"/>
      <c r="C334" s="227"/>
      <c r="D334" s="288"/>
      <c r="E334" s="51">
        <v>0</v>
      </c>
      <c r="F334" s="51">
        <v>1</v>
      </c>
      <c r="G334" s="51">
        <v>2</v>
      </c>
      <c r="H334" s="51">
        <v>3</v>
      </c>
      <c r="I334" s="51">
        <v>4</v>
      </c>
      <c r="J334" s="51">
        <v>5</v>
      </c>
      <c r="K334" s="51">
        <v>6</v>
      </c>
      <c r="L334" s="51">
        <v>7</v>
      </c>
      <c r="M334" s="51">
        <v>8</v>
      </c>
      <c r="N334" s="51">
        <v>9</v>
      </c>
      <c r="O334" s="51">
        <v>10</v>
      </c>
      <c r="P334"/>
    </row>
    <row r="335" spans="1:17" s="1" customFormat="1" outlineLevel="1" x14ac:dyDescent="0.3">
      <c r="B335" s="165"/>
      <c r="C335" s="59" t="s">
        <v>176</v>
      </c>
      <c r="D335" s="290"/>
      <c r="E335" s="423">
        <f ca="1">IF('E. State-Level Infrastr&amp;Support'!E35&gt;0,'E. State-Level Infrastr&amp;Support'!E35,"")</f>
        <v>2053050</v>
      </c>
      <c r="F335" s="423">
        <f ca="1">IF('E. State-Level Infrastr&amp;Support'!F35&gt;0,'E. State-Level Infrastr&amp;Support'!F35,"")</f>
        <v>2334101.9999999995</v>
      </c>
      <c r="G335" s="423">
        <f ca="1">IF('E. State-Level Infrastr&amp;Support'!G35&gt;0,'E. State-Level Infrastr&amp;Support'!G35,"")</f>
        <v>2692621.1711999997</v>
      </c>
      <c r="H335" s="423">
        <f ca="1">IF('E. State-Level Infrastr&amp;Support'!H35&gt;0,'E. State-Level Infrastr&amp;Support'!H35,"")</f>
        <v>2607704.695872</v>
      </c>
      <c r="I335" s="423">
        <f ca="1">IF('E. State-Level Infrastr&amp;Support'!I35&gt;0,'E. State-Level Infrastr&amp;Support'!I35,"")</f>
        <v>2757388.8054838274</v>
      </c>
      <c r="J335" s="423">
        <f ca="1">IF('E. State-Level Infrastr&amp;Support'!J35&gt;0,'E. State-Level Infrastr&amp;Support'!J35,"")</f>
        <v>2839595.9638550393</v>
      </c>
      <c r="K335" s="423">
        <f ca="1">IF('E. State-Level Infrastr&amp;Support'!K35&gt;0,'E. State-Level Infrastr&amp;Support'!K35,"")</f>
        <v>2930340.9029978146</v>
      </c>
      <c r="L335" s="423">
        <f ca="1">IF('E. State-Level Infrastr&amp;Support'!L35&gt;0,'E. State-Level Infrastr&amp;Support'!L35,"")</f>
        <v>3020089.9927244117</v>
      </c>
      <c r="M335" s="423">
        <f ca="1">IF('E. State-Level Infrastr&amp;Support'!M35&gt;0,'E. State-Level Infrastr&amp;Support'!M35,"")</f>
        <v>3112312.3515062025</v>
      </c>
      <c r="N335" s="423">
        <f ca="1">IF('E. State-Level Infrastr&amp;Support'!N35&gt;0,'E. State-Level Infrastr&amp;Support'!N35,"")</f>
        <v>3130413.6117934934</v>
      </c>
      <c r="O335" s="423">
        <f ca="1">IF('E. State-Level Infrastr&amp;Support'!O35&gt;0,'E. State-Level Infrastr&amp;Support'!O35,"")</f>
        <v>3299848.3621928459</v>
      </c>
      <c r="P335" s="193">
        <f ca="1">SUM(E335:O335)</f>
        <v>30777467.857625633</v>
      </c>
    </row>
    <row r="336" spans="1:17" ht="15" outlineLevel="1" thickBot="1" x14ac:dyDescent="0.35">
      <c r="B336" s="27"/>
      <c r="C336" s="7" t="s">
        <v>191</v>
      </c>
      <c r="E336" s="424">
        <f ca="1">IF(ISERR(E335/'E. State-Level Infrastr&amp;Support'!E37),"",IF(E335/'E. State-Level Infrastr&amp;Support'!E37&gt;0,E335/'E. State-Level Infrastr&amp;Support'!E37,""))</f>
        <v>0.58762886597938135</v>
      </c>
      <c r="F336" s="424">
        <f ca="1">IF(ISERR(F335/'E. State-Level Infrastr&amp;Support'!F37),"",IF(F335/'E. State-Level Infrastr&amp;Support'!F37&gt;0,F335/'E. State-Level Infrastr&amp;Support'!F37,""))</f>
        <v>0.58762886597938135</v>
      </c>
      <c r="G336" s="424">
        <f ca="1">IF(ISERR(G335/'E. State-Level Infrastr&amp;Support'!G37),"",IF(G335/'E. State-Level Infrastr&amp;Support'!G37&gt;0,G335/'E. State-Level Infrastr&amp;Support'!G37,""))</f>
        <v>0.58762886597938135</v>
      </c>
      <c r="H336" s="424">
        <f ca="1">IF(ISERR(H335/'E. State-Level Infrastr&amp;Support'!H37),"",IF(H335/'E. State-Level Infrastr&amp;Support'!H37&gt;0,H335/'E. State-Level Infrastr&amp;Support'!H37,""))</f>
        <v>0.58762886597938147</v>
      </c>
      <c r="I336" s="424">
        <f ca="1">IF(ISERR(I335/'E. State-Level Infrastr&amp;Support'!I37),"",IF(I335/'E. State-Level Infrastr&amp;Support'!I37&gt;0,I335/'E. State-Level Infrastr&amp;Support'!I37,""))</f>
        <v>0.58762886597938135</v>
      </c>
      <c r="J336" s="424">
        <f ca="1">IF(ISERR(J335/'E. State-Level Infrastr&amp;Support'!J37),"",IF(J335/'E. State-Level Infrastr&amp;Support'!J37&gt;0,J335/'E. State-Level Infrastr&amp;Support'!J37,""))</f>
        <v>0.58762886597938135</v>
      </c>
      <c r="K336" s="424">
        <f ca="1">IF(ISERR(K335/'E. State-Level Infrastr&amp;Support'!K37),"",IF(K335/'E. State-Level Infrastr&amp;Support'!K37&gt;0,K335/'E. State-Level Infrastr&amp;Support'!K37,""))</f>
        <v>0.58762886597938147</v>
      </c>
      <c r="L336" s="424">
        <f ca="1">IF(ISERR(L335/'E. State-Level Infrastr&amp;Support'!L37),"",IF(L335/'E. State-Level Infrastr&amp;Support'!L37&gt;0,L335/'E. State-Level Infrastr&amp;Support'!L37,""))</f>
        <v>0.58762886597938135</v>
      </c>
      <c r="M336" s="424">
        <f ca="1">IF(ISERR(M335/'E. State-Level Infrastr&amp;Support'!M37),"",IF(M335/'E. State-Level Infrastr&amp;Support'!M37&gt;0,M335/'E. State-Level Infrastr&amp;Support'!M37,""))</f>
        <v>0.58762886597938147</v>
      </c>
      <c r="N336" s="424">
        <f ca="1">IF(ISERR(N335/'E. State-Level Infrastr&amp;Support'!N37),"",IF(N335/'E. State-Level Infrastr&amp;Support'!N37&gt;0,N335/'E. State-Level Infrastr&amp;Support'!N37,""))</f>
        <v>0.58762886597938147</v>
      </c>
      <c r="O336" s="424">
        <f ca="1">IF(ISERR(O335/'E. State-Level Infrastr&amp;Support'!O37),"",IF(O335/'E. State-Level Infrastr&amp;Support'!O37&gt;0,O335/'E. State-Level Infrastr&amp;Support'!O37,""))</f>
        <v>0.58762886597938147</v>
      </c>
      <c r="P336" s="429">
        <f ca="1">IF(ISERR(P335/'E. State-Level Infrastr&amp;Support'!P37),"",IF(P335/'E. State-Level Infrastr&amp;Support'!P37&gt;0,P335/'E. State-Level Infrastr&amp;Support'!P37,""))</f>
        <v>0.58762886597938135</v>
      </c>
    </row>
    <row r="337" spans="1:16" s="1" customFormat="1" x14ac:dyDescent="0.3">
      <c r="B337" s="179"/>
      <c r="C337" s="9"/>
      <c r="D337" s="290"/>
      <c r="E337" s="160"/>
      <c r="F337" s="160"/>
      <c r="G337" s="160"/>
      <c r="H337" s="160"/>
      <c r="I337" s="160"/>
      <c r="J337" s="160"/>
      <c r="K337" s="160"/>
      <c r="L337" s="160"/>
      <c r="M337" s="160"/>
      <c r="N337" s="160"/>
      <c r="O337" s="160"/>
      <c r="P337" s="161"/>
    </row>
    <row r="338" spans="1:16" s="1" customFormat="1" ht="16.2" thickBot="1" x14ac:dyDescent="0.35">
      <c r="B338" s="253" t="s">
        <v>323</v>
      </c>
      <c r="C338" s="264"/>
      <c r="D338" s="290"/>
      <c r="E338" s="160"/>
      <c r="F338" s="160"/>
      <c r="G338" s="160"/>
      <c r="H338" s="160"/>
      <c r="I338" s="160"/>
      <c r="J338" s="160"/>
      <c r="K338" s="160"/>
      <c r="L338" s="160"/>
      <c r="M338" s="160"/>
      <c r="N338" s="160"/>
      <c r="O338" s="160"/>
      <c r="P338" s="161"/>
    </row>
    <row r="339" spans="1:16" ht="15.6" outlineLevel="1" x14ac:dyDescent="0.3">
      <c r="B339" s="178"/>
      <c r="C339" s="224"/>
      <c r="D339" s="285"/>
      <c r="E339" s="252" t="s">
        <v>57</v>
      </c>
      <c r="P339" s="250" t="s">
        <v>2</v>
      </c>
    </row>
    <row r="340" spans="1:16" ht="15" outlineLevel="1" thickBot="1" x14ac:dyDescent="0.35">
      <c r="B340" s="26"/>
      <c r="C340" s="7" t="s">
        <v>193</v>
      </c>
      <c r="D340" s="280" t="b">
        <f>IF(E340&gt;=0,TRUE,FALSE)</f>
        <v>1</v>
      </c>
      <c r="E340" s="8">
        <v>0.05</v>
      </c>
      <c r="P340" s="175">
        <f>E340</f>
        <v>0.05</v>
      </c>
    </row>
    <row r="341" spans="1:16" outlineLevel="1" x14ac:dyDescent="0.3">
      <c r="B341" s="26"/>
      <c r="C341" s="222"/>
      <c r="D341" s="285"/>
      <c r="E341" s="242"/>
      <c r="F341" s="243"/>
      <c r="G341" s="243"/>
      <c r="H341" s="243"/>
      <c r="I341" s="243"/>
      <c r="J341" s="242" t="s">
        <v>59</v>
      </c>
      <c r="K341" s="243"/>
      <c r="L341" s="243"/>
      <c r="M341" s="243"/>
      <c r="N341" s="243"/>
      <c r="O341" s="244"/>
      <c r="P341"/>
    </row>
    <row r="342" spans="1:16" s="1" customFormat="1" ht="15" outlineLevel="1" thickBot="1" x14ac:dyDescent="0.35">
      <c r="B342" s="165"/>
      <c r="C342" s="227"/>
      <c r="D342" s="288"/>
      <c r="E342" s="51">
        <v>0</v>
      </c>
      <c r="F342" s="51">
        <v>1</v>
      </c>
      <c r="G342" s="51">
        <v>2</v>
      </c>
      <c r="H342" s="51">
        <v>3</v>
      </c>
      <c r="I342" s="51">
        <v>4</v>
      </c>
      <c r="J342" s="51">
        <v>5</v>
      </c>
      <c r="K342" s="51">
        <v>6</v>
      </c>
      <c r="L342" s="51">
        <v>7</v>
      </c>
      <c r="M342" s="51">
        <v>8</v>
      </c>
      <c r="N342" s="51">
        <v>9</v>
      </c>
      <c r="O342" s="51">
        <v>10</v>
      </c>
      <c r="P342"/>
    </row>
    <row r="343" spans="1:16" s="1" customFormat="1" outlineLevel="1" x14ac:dyDescent="0.3">
      <c r="B343" s="195"/>
      <c r="C343" s="59" t="s">
        <v>179</v>
      </c>
      <c r="D343" s="290"/>
      <c r="E343" s="423">
        <f ca="1">IF('E. State-Level Infrastr&amp;Support'!E36&gt;0,'E. State-Level Infrastr&amp;Support'!E36,"")</f>
        <v>72036.84210526316</v>
      </c>
      <c r="F343" s="423">
        <f ca="1">IF('E. State-Level Infrastr&amp;Support'!F36&gt;0,'E. State-Level Infrastr&amp;Support'!F36,"")</f>
        <v>81898.315789473694</v>
      </c>
      <c r="G343" s="423">
        <f ca="1">IF('E. State-Level Infrastr&amp;Support'!G36&gt;0,'E. State-Level Infrastr&amp;Support'!G36,"")</f>
        <v>94477.935831578972</v>
      </c>
      <c r="H343" s="423">
        <f ca="1">IF('E. State-Level Infrastr&amp;Support'!H36&gt;0,'E. State-Level Infrastr&amp;Support'!H36,"")</f>
        <v>91498.410381473703</v>
      </c>
      <c r="I343" s="423">
        <f ca="1">IF('E. State-Level Infrastr&amp;Support'!I36&gt;0,'E. State-Level Infrastr&amp;Support'!I36,"")</f>
        <v>96750.484402941322</v>
      </c>
      <c r="J343" s="423">
        <f ca="1">IF('E. State-Level Infrastr&amp;Support'!J36&gt;0,'E. State-Level Infrastr&amp;Support'!J36,"")</f>
        <v>99634.946100176836</v>
      </c>
      <c r="K343" s="423">
        <f ca="1">IF('E. State-Level Infrastr&amp;Support'!K36&gt;0,'E. State-Level Infrastr&amp;Support'!K36,"")</f>
        <v>102818.97905255492</v>
      </c>
      <c r="L343" s="423">
        <f ca="1">IF('E. State-Level Infrastr&amp;Support'!L36&gt;0,'E. State-Level Infrastr&amp;Support'!L36,"")</f>
        <v>105968.06992015481</v>
      </c>
      <c r="M343" s="423">
        <f ca="1">IF('E. State-Level Infrastr&amp;Support'!M36&gt;0,'E. State-Level Infrastr&amp;Support'!M36,"")</f>
        <v>109203.94215811239</v>
      </c>
      <c r="N343" s="423">
        <f ca="1">IF('E. State-Level Infrastr&amp;Support'!N36&gt;0,'E. State-Level Infrastr&amp;Support'!N36,"")</f>
        <v>109839.07409801733</v>
      </c>
      <c r="O343" s="423">
        <f ca="1">IF('E. State-Level Infrastr&amp;Support'!O36&gt;0,'E. State-Level Infrastr&amp;Support'!O36,"")</f>
        <v>115784.15305939813</v>
      </c>
      <c r="P343" s="193">
        <f ca="1">SUM(E343:O343)</f>
        <v>1079911.1528991454</v>
      </c>
    </row>
    <row r="344" spans="1:16" ht="15" outlineLevel="1" thickBot="1" x14ac:dyDescent="0.35">
      <c r="B344" s="196"/>
      <c r="C344" s="7" t="s">
        <v>194</v>
      </c>
      <c r="E344" s="424">
        <f ca="1">IF(ISERR(E343/'E. State-Level Infrastr&amp;Support'!E37),"",IF(E343/'E. State-Level Infrastr&amp;Support'!E37&gt;0,E343/'E. State-Level Infrastr&amp;Support'!E37,""))</f>
        <v>2.0618556701030927E-2</v>
      </c>
      <c r="F344" s="424">
        <f ca="1">IF(ISERR(F343/'E. State-Level Infrastr&amp;Support'!F37),"",IF(F343/'E. State-Level Infrastr&amp;Support'!F37&gt;0,F343/'E. State-Level Infrastr&amp;Support'!F37,""))</f>
        <v>2.0618556701030931E-2</v>
      </c>
      <c r="G344" s="424">
        <f ca="1">IF(ISERR(G343/'E. State-Level Infrastr&amp;Support'!G37),"",IF(G343/'E. State-Level Infrastr&amp;Support'!G37&gt;0,G343/'E. State-Level Infrastr&amp;Support'!G37,""))</f>
        <v>2.0618556701030934E-2</v>
      </c>
      <c r="H344" s="424">
        <f ca="1">IF(ISERR(H343/'E. State-Level Infrastr&amp;Support'!H37),"",IF(H343/'E. State-Level Infrastr&amp;Support'!H37&gt;0,H343/'E. State-Level Infrastr&amp;Support'!H37,""))</f>
        <v>2.0618556701030934E-2</v>
      </c>
      <c r="I344" s="424">
        <f ca="1">IF(ISERR(I343/'E. State-Level Infrastr&amp;Support'!I37),"",IF(I343/'E. State-Level Infrastr&amp;Support'!I37&gt;0,I343/'E. State-Level Infrastr&amp;Support'!I37,""))</f>
        <v>2.0618556701030927E-2</v>
      </c>
      <c r="J344" s="424">
        <f ca="1">IF(ISERR(J343/'E. State-Level Infrastr&amp;Support'!J37),"",IF(J343/'E. State-Level Infrastr&amp;Support'!J37&gt;0,J343/'E. State-Level Infrastr&amp;Support'!J37,""))</f>
        <v>2.0618556701030927E-2</v>
      </c>
      <c r="K344" s="424">
        <f ca="1">IF(ISERR(K343/'E. State-Level Infrastr&amp;Support'!K37),"",IF(K343/'E. State-Level Infrastr&amp;Support'!K37&gt;0,K343/'E. State-Level Infrastr&amp;Support'!K37,""))</f>
        <v>2.0618556701030934E-2</v>
      </c>
      <c r="L344" s="424">
        <f ca="1">IF(ISERR(L343/'E. State-Level Infrastr&amp;Support'!L37),"",IF(L343/'E. State-Level Infrastr&amp;Support'!L37&gt;0,L343/'E. State-Level Infrastr&amp;Support'!L37,""))</f>
        <v>2.0618556701030927E-2</v>
      </c>
      <c r="M344" s="424">
        <f ca="1">IF(ISERR(M343/'E. State-Level Infrastr&amp;Support'!M37),"",IF(M343/'E. State-Level Infrastr&amp;Support'!M37&gt;0,M343/'E. State-Level Infrastr&amp;Support'!M37,""))</f>
        <v>2.0618556701030934E-2</v>
      </c>
      <c r="N344" s="424">
        <f ca="1">IF(ISERR(N343/'E. State-Level Infrastr&amp;Support'!N37),"",IF(N343/'E. State-Level Infrastr&amp;Support'!N37&gt;0,N343/'E. State-Level Infrastr&amp;Support'!N37,""))</f>
        <v>2.0618556701030931E-2</v>
      </c>
      <c r="O344" s="424">
        <f ca="1">IF(ISERR(O343/'E. State-Level Infrastr&amp;Support'!O37),"",IF(O343/'E. State-Level Infrastr&amp;Support'!O37&gt;0,O343/'E. State-Level Infrastr&amp;Support'!O37,""))</f>
        <v>2.0618556701030934E-2</v>
      </c>
      <c r="P344" s="190">
        <f ca="1">IF(ISERR(P343/'E. State-Level Infrastr&amp;Support'!P37),"",IF(P343/'E. State-Level Infrastr&amp;Support'!P37&gt;0,P343/'E. State-Level Infrastr&amp;Support'!P37,""))</f>
        <v>2.0618556701030931E-2</v>
      </c>
    </row>
    <row r="345" spans="1:16" s="1" customFormat="1" x14ac:dyDescent="0.3">
      <c r="B345" s="179"/>
      <c r="C345" s="159"/>
      <c r="D345" s="290"/>
      <c r="E345" s="160"/>
      <c r="F345" s="160"/>
      <c r="G345" s="160"/>
      <c r="H345" s="160"/>
      <c r="I345" s="160"/>
      <c r="J345" s="160"/>
      <c r="K345" s="160"/>
      <c r="L345" s="160"/>
      <c r="M345" s="160"/>
      <c r="N345" s="160"/>
      <c r="O345" s="160"/>
      <c r="P345" s="161"/>
    </row>
    <row r="346" spans="1:16" ht="18" x14ac:dyDescent="0.35">
      <c r="A346" s="239" t="s">
        <v>309</v>
      </c>
      <c r="B346" s="265"/>
      <c r="C346" s="241"/>
    </row>
    <row r="347" spans="1:16" x14ac:dyDescent="0.3">
      <c r="N347" t="s">
        <v>361</v>
      </c>
    </row>
    <row r="348" spans="1:16" ht="16.2" thickBot="1" x14ac:dyDescent="0.35">
      <c r="B348" s="253" t="s">
        <v>324</v>
      </c>
      <c r="C348" s="254"/>
    </row>
    <row r="349" spans="1:16" outlineLevel="1" x14ac:dyDescent="0.3">
      <c r="B349" s="26"/>
      <c r="C349" s="162"/>
      <c r="E349" s="321" t="s">
        <v>57</v>
      </c>
      <c r="P349" s="306" t="s">
        <v>2</v>
      </c>
    </row>
    <row r="350" spans="1:16" outlineLevel="1" x14ac:dyDescent="0.3">
      <c r="B350" s="26"/>
      <c r="C350" s="7" t="s">
        <v>67</v>
      </c>
      <c r="E350" s="210">
        <f>E108</f>
        <v>2</v>
      </c>
      <c r="I350" s="208"/>
      <c r="J350" s="208"/>
      <c r="K350" s="208"/>
      <c r="P350" s="334">
        <f t="shared" ref="P350:P355" si="25">E350</f>
        <v>2</v>
      </c>
    </row>
    <row r="351" spans="1:16" outlineLevel="1" x14ac:dyDescent="0.3">
      <c r="B351" s="26"/>
      <c r="C351" s="10" t="s">
        <v>363</v>
      </c>
      <c r="D351" s="280" t="b">
        <f>IF(AND(E351&gt;0,E351&gt;=E350),TRUE,FALSE)</f>
        <v>1</v>
      </c>
      <c r="E351" s="209">
        <v>4</v>
      </c>
      <c r="I351" s="208"/>
      <c r="J351" s="208"/>
      <c r="K351" s="208"/>
      <c r="P351" s="334">
        <f t="shared" si="25"/>
        <v>4</v>
      </c>
    </row>
    <row r="352" spans="1:16" outlineLevel="1" x14ac:dyDescent="0.3">
      <c r="B352" s="26"/>
      <c r="C352" s="7" t="s">
        <v>68</v>
      </c>
      <c r="E352" s="210">
        <f>E109</f>
        <v>2</v>
      </c>
      <c r="I352" s="208"/>
      <c r="J352" s="208"/>
      <c r="K352" s="208"/>
      <c r="P352" s="334">
        <f t="shared" si="25"/>
        <v>2</v>
      </c>
    </row>
    <row r="353" spans="2:17" outlineLevel="1" x14ac:dyDescent="0.3">
      <c r="B353" s="26"/>
      <c r="C353" s="10" t="s">
        <v>364</v>
      </c>
      <c r="D353" s="280" t="b">
        <f>IF(AND(E353&gt;0,E353&gt;=E352),TRUE,FALSE)</f>
        <v>1</v>
      </c>
      <c r="E353" s="209">
        <v>15</v>
      </c>
      <c r="I353" s="208"/>
      <c r="J353" s="208"/>
      <c r="K353" s="208"/>
      <c r="P353" s="334">
        <f t="shared" si="25"/>
        <v>15</v>
      </c>
    </row>
    <row r="354" spans="2:17" outlineLevel="1" x14ac:dyDescent="0.3">
      <c r="B354" s="26"/>
      <c r="C354" s="7" t="s">
        <v>69</v>
      </c>
      <c r="E354" s="210">
        <f>E110</f>
        <v>3</v>
      </c>
      <c r="I354" s="208"/>
      <c r="J354" s="208"/>
      <c r="K354" s="208"/>
      <c r="P354" s="334">
        <f t="shared" si="25"/>
        <v>3</v>
      </c>
    </row>
    <row r="355" spans="2:17" ht="15" outlineLevel="1" thickBot="1" x14ac:dyDescent="0.35">
      <c r="B355" s="26"/>
      <c r="C355" s="10" t="s">
        <v>365</v>
      </c>
      <c r="D355" s="280" t="b">
        <f>IF(AND(E355&gt;0,E355&gt;=E354),TRUE,FALSE)</f>
        <v>1</v>
      </c>
      <c r="E355" s="209">
        <v>4</v>
      </c>
      <c r="I355" s="208"/>
      <c r="J355" s="208"/>
      <c r="K355" s="208"/>
      <c r="P355" s="335">
        <f t="shared" si="25"/>
        <v>4</v>
      </c>
    </row>
    <row r="356" spans="2:17" outlineLevel="1" x14ac:dyDescent="0.3">
      <c r="B356" s="26"/>
      <c r="C356" s="162"/>
    </row>
    <row r="357" spans="2:17" hidden="1" outlineLevel="1" x14ac:dyDescent="0.3">
      <c r="B357" s="26"/>
      <c r="C357" s="220"/>
      <c r="E357" s="310"/>
      <c r="F357" s="311"/>
      <c r="G357" s="312"/>
      <c r="H357" s="243"/>
      <c r="I357" s="243" t="s">
        <v>18</v>
      </c>
      <c r="J357" s="313"/>
      <c r="K357" s="313"/>
      <c r="L357" s="313"/>
      <c r="M357" s="317"/>
      <c r="P357"/>
      <c r="Q357" s="754" t="s">
        <v>1102</v>
      </c>
    </row>
    <row r="358" spans="2:17" ht="42" hidden="1" outlineLevel="1" thickBot="1" x14ac:dyDescent="0.35">
      <c r="B358" s="26"/>
      <c r="C358" s="7" t="s">
        <v>687</v>
      </c>
      <c r="E358" s="315" t="s">
        <v>362</v>
      </c>
      <c r="F358" s="316" t="s">
        <v>239</v>
      </c>
      <c r="G358" s="319" t="s">
        <v>385</v>
      </c>
      <c r="H358" s="319" t="s">
        <v>388</v>
      </c>
      <c r="I358" s="319" t="s">
        <v>387</v>
      </c>
      <c r="J358" s="319" t="s">
        <v>386</v>
      </c>
      <c r="K358" s="320" t="s">
        <v>384</v>
      </c>
      <c r="L358" s="320" t="s">
        <v>383</v>
      </c>
      <c r="M358" s="320" t="s">
        <v>389</v>
      </c>
      <c r="P358"/>
    </row>
    <row r="359" spans="2:17" hidden="1" outlineLevel="1" x14ac:dyDescent="0.3">
      <c r="B359" s="26"/>
      <c r="C359" s="10" t="s">
        <v>400</v>
      </c>
      <c r="D359" s="280" t="b">
        <f>IF(ISERR(M359),FALSE,IF(M359&lt;0,FALSE,TRUE))</f>
        <v>1</v>
      </c>
      <c r="E359" s="207">
        <v>1</v>
      </c>
      <c r="F359" s="173">
        <f>E359*VLOOKUP(P$5,'C. Demographic Tables'!$B$125:$H$175,2,FALSE)</f>
        <v>39850</v>
      </c>
      <c r="G359" s="318">
        <v>1</v>
      </c>
      <c r="H359" s="322">
        <v>0</v>
      </c>
      <c r="I359" s="72">
        <v>0</v>
      </c>
      <c r="J359" s="309">
        <v>1</v>
      </c>
      <c r="K359" s="702">
        <f>IF(VALUE(J359)=0,MAX(VALUE(G359),IFERROR(ROUND(E$351/I359,0)*H359,0)),MIN(MAX(VALUE(G359),IFERROR(ROUND(E$351/I359,0)*H359,0)),J359))</f>
        <v>1</v>
      </c>
      <c r="L359" s="500">
        <f>ROUND(K359*(E$350/E$351),2)</f>
        <v>0.5</v>
      </c>
      <c r="M359" s="336">
        <f>L359*F359</f>
        <v>19925</v>
      </c>
      <c r="P359" s="462" t="str">
        <f>TEXT(M359,"$#,###")&amp;" ("&amp;L359&amp;" FTEs)"</f>
        <v>$19,925 (0.5 FTEs)</v>
      </c>
    </row>
    <row r="360" spans="2:17" hidden="1" outlineLevel="1" x14ac:dyDescent="0.3">
      <c r="B360" s="26"/>
      <c r="C360" s="10" t="s">
        <v>399</v>
      </c>
      <c r="D360" s="280" t="b">
        <f t="shared" ref="D360:D363" si="26">IF(ISERR(M360),FALSE,IF(M360&lt;0,FALSE,TRUE))</f>
        <v>1</v>
      </c>
      <c r="E360" s="207">
        <v>0.8</v>
      </c>
      <c r="F360" s="173">
        <f>E360*VLOOKUP(P$5,'C. Demographic Tables'!$B$125:$H$175,3,FALSE)</f>
        <v>31880</v>
      </c>
      <c r="G360" s="72">
        <v>0.5</v>
      </c>
      <c r="H360" s="72">
        <v>0.5</v>
      </c>
      <c r="I360" s="72">
        <v>5</v>
      </c>
      <c r="J360" s="309">
        <v>1</v>
      </c>
      <c r="K360" s="702">
        <f t="shared" ref="K360:K362" si="27">IF(VALUE(J360)=0,MAX(VALUE(G360),IFERROR(ROUND(E$351/I360,0)*H360,0)),MIN(MAX(VALUE(G360),IFERROR(ROUND(E$351/I360,0)*H360,0)),J360))</f>
        <v>0.5</v>
      </c>
      <c r="L360" s="500">
        <f t="shared" ref="L360:L362" si="28">ROUND(K360*(E$350/E$351),2)</f>
        <v>0.25</v>
      </c>
      <c r="M360" s="336">
        <f>L360*F360</f>
        <v>7970</v>
      </c>
      <c r="P360" s="463" t="str">
        <f t="shared" ref="P360:P363" si="29">TEXT(M360,"$#,###")&amp;" ("&amp;L360&amp;" FTEs)"</f>
        <v>$7,970 (0.25 FTEs)</v>
      </c>
    </row>
    <row r="361" spans="2:17" hidden="1" outlineLevel="1" x14ac:dyDescent="0.3">
      <c r="B361" s="26"/>
      <c r="C361" s="10" t="s">
        <v>649</v>
      </c>
      <c r="D361" s="280" t="b">
        <f t="shared" si="26"/>
        <v>1</v>
      </c>
      <c r="E361" s="207">
        <v>0.9</v>
      </c>
      <c r="F361" s="173">
        <f>E361*VLOOKUP(P$5,'C. Demographic Tables'!$B$125:$H$175,4,FALSE)</f>
        <v>25641</v>
      </c>
      <c r="G361" s="72">
        <v>0.5</v>
      </c>
      <c r="H361" s="72">
        <v>0.5</v>
      </c>
      <c r="I361" s="72">
        <v>3</v>
      </c>
      <c r="J361" s="309"/>
      <c r="K361" s="702">
        <f t="shared" si="27"/>
        <v>0.5</v>
      </c>
      <c r="L361" s="500">
        <f t="shared" si="28"/>
        <v>0.25</v>
      </c>
      <c r="M361" s="336">
        <f>L361*F361</f>
        <v>6410.25</v>
      </c>
      <c r="P361" s="463" t="str">
        <f t="shared" si="29"/>
        <v>$6,410 (0.25 FTEs)</v>
      </c>
    </row>
    <row r="362" spans="2:17" hidden="1" outlineLevel="1" x14ac:dyDescent="0.3">
      <c r="B362" s="26"/>
      <c r="C362" s="10" t="s">
        <v>833</v>
      </c>
      <c r="D362" s="280" t="b">
        <f t="shared" si="26"/>
        <v>1</v>
      </c>
      <c r="E362" s="19"/>
      <c r="F362" s="12">
        <v>0</v>
      </c>
      <c r="G362" s="72">
        <v>0</v>
      </c>
      <c r="H362" s="72">
        <v>0</v>
      </c>
      <c r="I362" s="72">
        <v>0</v>
      </c>
      <c r="J362" s="309"/>
      <c r="K362" s="702">
        <f t="shared" si="27"/>
        <v>0</v>
      </c>
      <c r="L362" s="500">
        <f t="shared" si="28"/>
        <v>0</v>
      </c>
      <c r="M362" s="336">
        <f>L362*F362</f>
        <v>0</v>
      </c>
      <c r="P362" s="463" t="str">
        <f t="shared" si="29"/>
        <v>$ (0 FTEs)</v>
      </c>
    </row>
    <row r="363" spans="2:17" hidden="1" outlineLevel="1" x14ac:dyDescent="0.3">
      <c r="B363" s="26"/>
      <c r="C363" s="11" t="s">
        <v>835</v>
      </c>
      <c r="D363" s="280" t="b">
        <f t="shared" si="26"/>
        <v>1</v>
      </c>
      <c r="E363" s="19"/>
      <c r="F363" s="19"/>
      <c r="G363" s="19"/>
      <c r="H363" s="19"/>
      <c r="I363" s="19"/>
      <c r="J363" s="19"/>
      <c r="K363" s="701"/>
      <c r="L363" s="580">
        <f>SUM(L359:L362)</f>
        <v>1</v>
      </c>
      <c r="M363" s="53">
        <f>SUM(M359:M362)</f>
        <v>34305.25</v>
      </c>
      <c r="P363" s="581" t="str">
        <f t="shared" si="29"/>
        <v>$34,305 (1 FTEs)</v>
      </c>
    </row>
    <row r="364" spans="2:17" hidden="1" outlineLevel="1" x14ac:dyDescent="0.3">
      <c r="B364" s="26"/>
      <c r="C364" s="10" t="s">
        <v>403</v>
      </c>
      <c r="D364" s="280" t="b">
        <f>IF(ISERR(M364),FALSE,IF(M364&lt;0,FALSE,TRUE))</f>
        <v>1</v>
      </c>
      <c r="E364" s="207">
        <v>0.8</v>
      </c>
      <c r="F364" s="173">
        <f>E364*VLOOKUP(P$5,'C. Demographic Tables'!$B$125:$H$175,5,FALSE)</f>
        <v>15824</v>
      </c>
      <c r="G364" s="72">
        <v>0.5</v>
      </c>
      <c r="H364" s="72">
        <v>0.5</v>
      </c>
      <c r="I364" s="72">
        <v>3</v>
      </c>
      <c r="J364" s="309"/>
      <c r="K364" s="702">
        <f>IF(VALUE(J364)=0,MAX(VALUE(G364),IFERROR(ROUND(E$351/I364,0)*H364,0)),MIN(MAX(VALUE(G364),IFERROR(ROUND(E$351/I364,0)*H364,0)),J364))</f>
        <v>0.5</v>
      </c>
      <c r="L364" s="500">
        <f>ROUND(K364*(E$350/E$351),2)</f>
        <v>0.25</v>
      </c>
      <c r="M364" s="336">
        <f>L364*F364</f>
        <v>3956</v>
      </c>
      <c r="P364" s="463" t="str">
        <f>TEXT(M364,"$#,###")&amp;" ("&amp;L364&amp;" FTEs)"</f>
        <v>$3,956 (0.25 FTEs)</v>
      </c>
    </row>
    <row r="365" spans="2:17" hidden="1" outlineLevel="1" x14ac:dyDescent="0.3">
      <c r="B365" s="26"/>
      <c r="C365" s="10" t="s">
        <v>830</v>
      </c>
      <c r="D365" s="280" t="b">
        <f>IF(ISERR(F365),FALSE,IF(F365&lt;0,FALSE,TRUE))</f>
        <v>1</v>
      </c>
      <c r="E365" s="207">
        <v>1</v>
      </c>
      <c r="F365" s="173">
        <f>E365*VLOOKUP(P$5,'C. Demographic Tables'!$B$125:$H$175,6,FALSE)</f>
        <v>37670</v>
      </c>
      <c r="I365" s="314"/>
      <c r="P365" s="475">
        <f>F365/2080</f>
        <v>18.110576923076923</v>
      </c>
    </row>
    <row r="366" spans="2:17" ht="15" hidden="1" outlineLevel="1" thickBot="1" x14ac:dyDescent="0.35">
      <c r="B366" s="26"/>
      <c r="C366" s="10" t="s">
        <v>831</v>
      </c>
      <c r="D366" s="280" t="b">
        <f>IF(ISERR(F366),FALSE,IF(F366&lt;0,FALSE,TRUE))</f>
        <v>1</v>
      </c>
      <c r="E366" s="207">
        <v>1</v>
      </c>
      <c r="F366" s="173">
        <f>E366*VLOOKUP(P$5,'C. Demographic Tables'!$B$125:$H$175,7,FALSE)</f>
        <v>19780</v>
      </c>
      <c r="I366" s="314"/>
      <c r="P366" s="476">
        <f>F366/2080</f>
        <v>9.509615384615385</v>
      </c>
    </row>
    <row r="367" spans="2:17" ht="42" hidden="1" outlineLevel="1" thickBot="1" x14ac:dyDescent="0.35">
      <c r="B367" s="26"/>
      <c r="C367" s="634" t="s">
        <v>923</v>
      </c>
      <c r="E367" s="315" t="s">
        <v>873</v>
      </c>
      <c r="F367" s="633" t="s">
        <v>924</v>
      </c>
      <c r="G367" s="633" t="s">
        <v>925</v>
      </c>
      <c r="H367" s="633" t="s">
        <v>926</v>
      </c>
      <c r="I367" s="633" t="s">
        <v>924</v>
      </c>
      <c r="P367"/>
    </row>
    <row r="368" spans="2:17" hidden="1" outlineLevel="1" x14ac:dyDescent="0.3">
      <c r="B368" s="26"/>
      <c r="C368" s="10" t="s">
        <v>875</v>
      </c>
      <c r="D368" s="280" t="b">
        <f>IF(OR(G368="Yes",G368="Y"),IF(H368&gt;=0,TRUE,FALSE),IF(E368&gt;=0,TRUE,FALSE))</f>
        <v>1</v>
      </c>
      <c r="E368" s="632">
        <f>VLOOKUP(P$5,'C. Demographic Tables'!$N$239:$AE$289,15,FALSE)</f>
        <v>0.71369091989134437</v>
      </c>
      <c r="F368" s="173">
        <f>IF(OR(G368="Yes",G368="Y"),"",E368*F365)</f>
        <v>26884.736952306943</v>
      </c>
      <c r="G368" s="307" t="s">
        <v>686</v>
      </c>
      <c r="H368" s="637">
        <v>0.8</v>
      </c>
      <c r="I368" s="173" t="str">
        <f>IF(OR(G368="Yes",G368="Y"),F365*H368,"")</f>
        <v/>
      </c>
      <c r="P368" s="635">
        <f>IF(OR(G368="Yes",G368="Y"),I368/2080,F368/2080)</f>
        <v>12.925354303993723</v>
      </c>
    </row>
    <row r="369" spans="2:17" hidden="1" outlineLevel="1" x14ac:dyDescent="0.3">
      <c r="B369" s="26"/>
      <c r="C369" s="10" t="s">
        <v>874</v>
      </c>
      <c r="D369" s="280" t="b">
        <f>IF(OR(G369="Yes",G369="Y"),IF(H369&gt;=0,TRUE,FALSE),IF(E369&gt;=0,TRUE,FALSE))</f>
        <v>1</v>
      </c>
      <c r="E369" s="632">
        <f>VLOOKUP(P$5,'C. Demographic Tables'!$N$239:$AE$289,16,FALSE)</f>
        <v>0.8575769867275912</v>
      </c>
      <c r="F369" s="173">
        <f>IF(OR(G369="Yes",G369="Y"),"",E369*F365)</f>
        <v>32304.925090028359</v>
      </c>
      <c r="G369" s="307" t="s">
        <v>686</v>
      </c>
      <c r="H369" s="637">
        <v>0.9</v>
      </c>
      <c r="I369" s="173" t="str">
        <f>IF(OR(G369="Yes",G369="Y"),F365*H369,"")</f>
        <v/>
      </c>
      <c r="P369" s="475">
        <f t="shared" ref="P369:P372" si="30">IF(OR(G369="Yes",G369="Y"),I369/2080,F369/2080)</f>
        <v>15.531213985590558</v>
      </c>
    </row>
    <row r="370" spans="2:17" hidden="1" outlineLevel="1" x14ac:dyDescent="0.3">
      <c r="B370" s="26"/>
      <c r="C370" s="10" t="s">
        <v>916</v>
      </c>
      <c r="D370" s="280" t="b">
        <f>IF(OR(G370="Yes",G370="Y"),IF(H370&gt;=0,TRUE,FALSE),IF(E370&gt;=0,TRUE,FALSE))</f>
        <v>1</v>
      </c>
      <c r="E370" s="632">
        <f>VLOOKUP(P$5,'C. Demographic Tables'!$N$239:$AE$289,17,FALSE)</f>
        <v>1.0484337415808089</v>
      </c>
      <c r="F370" s="173">
        <f>IF(OR(G370="Yes",G370="Y"),"",E370*F365)</f>
        <v>39494.499045349075</v>
      </c>
      <c r="G370" s="307" t="s">
        <v>686</v>
      </c>
      <c r="H370" s="637">
        <v>1.1000000000000001</v>
      </c>
      <c r="I370" s="173" t="str">
        <f>IF(OR(G370="Yes",G370="Y"),F365*H370,"")</f>
        <v/>
      </c>
      <c r="P370" s="475">
        <f t="shared" si="30"/>
        <v>18.987739925648594</v>
      </c>
    </row>
    <row r="371" spans="2:17" hidden="1" outlineLevel="1" x14ac:dyDescent="0.3">
      <c r="B371" s="26"/>
      <c r="C371" s="10" t="s">
        <v>876</v>
      </c>
      <c r="D371" s="280" t="b">
        <f>IF(OR(G371="Yes",G371="Y"),IF(H371&gt;=0,TRUE,FALSE),IF(E371&gt;=0,TRUE,FALSE))</f>
        <v>1</v>
      </c>
      <c r="E371" s="632">
        <f>1/(VLOOKUP(P$5,'C. Demographic Tables'!$B$303:$L$353,5,FALSE)*VLOOKUP(P$5,'C. Demographic Tables'!$N$239:$AE$289,18,FALSE)+VLOOKUP(P$5,'C. Demographic Tables'!$B$303:$L$353,6,FALSE))</f>
        <v>0.8839072969839652</v>
      </c>
      <c r="F371" s="173">
        <f>IF(OR(G371="Yes",G371="Y"),"",E371*F366)</f>
        <v>17483.68633434283</v>
      </c>
      <c r="G371" s="307" t="s">
        <v>686</v>
      </c>
      <c r="H371" s="637">
        <v>0.9</v>
      </c>
      <c r="I371" s="173" t="str">
        <f>IF(OR(G371="Yes",G371="Y"),F366*H371,"")</f>
        <v/>
      </c>
      <c r="K371" s="748"/>
      <c r="P371" s="475">
        <f t="shared" si="30"/>
        <v>8.405618429972515</v>
      </c>
    </row>
    <row r="372" spans="2:17" ht="15" hidden="1" outlineLevel="1" thickBot="1" x14ac:dyDescent="0.35">
      <c r="B372" s="26"/>
      <c r="C372" s="10" t="s">
        <v>906</v>
      </c>
      <c r="D372" s="280" t="b">
        <f>IF(OR(G372="Yes",G372="Y"),IF(H372&gt;=0,TRUE,FALSE),IF(E372&gt;=0,TRUE,FALSE))</f>
        <v>1</v>
      </c>
      <c r="E372" s="632">
        <f>E371*VLOOKUP(P$5,'C. Demographic Tables'!$N$239:$AE$289,18,FALSE)</f>
        <v>1.0536366286802763</v>
      </c>
      <c r="F372" s="173">
        <f>IF(OR(G372="Yes",G372="Y"),"",E372*F366)</f>
        <v>20840.932515295866</v>
      </c>
      <c r="G372" s="307" t="s">
        <v>686</v>
      </c>
      <c r="H372" s="637">
        <v>1.1000000000000001</v>
      </c>
      <c r="I372" s="173" t="str">
        <f>IF(OR(G372="Yes",G372="Y"),F366*H372,"")</f>
        <v/>
      </c>
      <c r="P372" s="476">
        <f t="shared" si="30"/>
        <v>10.019679093892243</v>
      </c>
    </row>
    <row r="373" spans="2:17" outlineLevel="1" x14ac:dyDescent="0.3">
      <c r="B373" s="26"/>
      <c r="C373" s="220"/>
      <c r="E373" s="310"/>
      <c r="F373" s="311"/>
      <c r="G373" s="312"/>
      <c r="H373" s="243"/>
      <c r="I373" s="243" t="s">
        <v>20</v>
      </c>
      <c r="J373" s="313"/>
      <c r="K373" s="313"/>
      <c r="L373" s="313"/>
      <c r="M373" s="317"/>
      <c r="P373"/>
    </row>
    <row r="374" spans="2:17" ht="42" outlineLevel="1" thickBot="1" x14ac:dyDescent="0.35">
      <c r="B374" s="753"/>
      <c r="C374" s="7" t="s">
        <v>688</v>
      </c>
      <c r="E374" s="315" t="s">
        <v>362</v>
      </c>
      <c r="F374" s="316" t="s">
        <v>239</v>
      </c>
      <c r="G374" s="319" t="s">
        <v>385</v>
      </c>
      <c r="H374" s="319" t="s">
        <v>388</v>
      </c>
      <c r="I374" s="319" t="s">
        <v>387</v>
      </c>
      <c r="J374" s="319" t="s">
        <v>386</v>
      </c>
      <c r="K374" s="320" t="s">
        <v>384</v>
      </c>
      <c r="L374" s="320" t="s">
        <v>383</v>
      </c>
      <c r="M374" s="320" t="s">
        <v>389</v>
      </c>
      <c r="P374"/>
      <c r="Q374" s="754"/>
    </row>
    <row r="375" spans="2:17" outlineLevel="1" x14ac:dyDescent="0.3">
      <c r="B375" s="753"/>
      <c r="C375" s="10" t="s">
        <v>405</v>
      </c>
      <c r="D375" s="280" t="b">
        <f t="shared" ref="D375:D381" si="31">IF(ISERR(M375),FALSE,IF(M375&lt;0,FALSE,TRUE))</f>
        <v>1</v>
      </c>
      <c r="E375" s="207">
        <v>1</v>
      </c>
      <c r="F375" s="173">
        <f>E375*VLOOKUP(P$5,'C. Demographic Tables'!$B$182:$H$232,2,FALSE)</f>
        <v>82190</v>
      </c>
      <c r="G375" s="318">
        <v>1</v>
      </c>
      <c r="H375" s="322">
        <v>0</v>
      </c>
      <c r="I375" s="72">
        <v>0</v>
      </c>
      <c r="J375" s="309">
        <v>1</v>
      </c>
      <c r="K375" s="702">
        <f>IF(VALUE(J375)=0,MAX(VALUE(G375),IFERROR(ROUND(E$353/I375,0)*H375,0)),MIN(MAX(VALUE(G375),IFERROR(ROUND(E$353/I375,0)*H375,0)),J375))</f>
        <v>1</v>
      </c>
      <c r="L375" s="3">
        <f>ROUND(K375*(E$352/E$353),2)</f>
        <v>0.13</v>
      </c>
      <c r="M375" s="336">
        <f t="shared" ref="M375:M380" si="32">L375*F375</f>
        <v>10684.7</v>
      </c>
      <c r="P375" s="462" t="str">
        <f>TEXT(M375,"$#,###")&amp;" ("&amp;L375&amp;" FTEs)"</f>
        <v>$10,685 (0.13 FTEs)</v>
      </c>
    </row>
    <row r="376" spans="2:17" outlineLevel="1" x14ac:dyDescent="0.3">
      <c r="B376" s="753"/>
      <c r="C376" s="10" t="s">
        <v>408</v>
      </c>
      <c r="D376" s="280" t="b">
        <f t="shared" si="31"/>
        <v>1</v>
      </c>
      <c r="E376" s="207">
        <v>0.8</v>
      </c>
      <c r="F376" s="173">
        <f>E376*VLOOKUP(P$5,'C. Demographic Tables'!$B$182:$H$232,3,FALSE)</f>
        <v>65752</v>
      </c>
      <c r="G376" s="72">
        <v>1</v>
      </c>
      <c r="H376" s="72">
        <v>0</v>
      </c>
      <c r="I376" s="72">
        <v>0</v>
      </c>
      <c r="J376" s="309">
        <v>1</v>
      </c>
      <c r="K376" s="702">
        <f t="shared" ref="K376:K380" si="33">IF(VALUE(J376)=0,MAX(VALUE(G376),IFERROR(ROUND(E$353/I376,0)*H376,0)),MIN(MAX(VALUE(G376),IFERROR(ROUND(E$353/I376,0)*H376,0)),J376))</f>
        <v>1</v>
      </c>
      <c r="L376" s="3">
        <f t="shared" ref="L376:L380" si="34">ROUND(K376*(E$352/E$353),2)</f>
        <v>0.13</v>
      </c>
      <c r="M376" s="336">
        <f t="shared" si="32"/>
        <v>8547.76</v>
      </c>
      <c r="P376" s="463" t="str">
        <f t="shared" ref="P376:P381" si="35">TEXT(M376,"$#,###")&amp;" ("&amp;L376&amp;" FTEs)"</f>
        <v>$8,548 (0.13 FTEs)</v>
      </c>
    </row>
    <row r="377" spans="2:17" outlineLevel="1" x14ac:dyDescent="0.3">
      <c r="B377" s="753"/>
      <c r="C377" s="10" t="s">
        <v>649</v>
      </c>
      <c r="D377" s="280" t="b">
        <f t="shared" si="31"/>
        <v>1</v>
      </c>
      <c r="E377" s="207">
        <v>0.9</v>
      </c>
      <c r="F377" s="173">
        <f>E377*VLOOKUP(P$5,'C. Demographic Tables'!$B$182:$H$232,4,FALSE)</f>
        <v>25641</v>
      </c>
      <c r="G377" s="72">
        <v>1</v>
      </c>
      <c r="H377" s="72">
        <v>0.5</v>
      </c>
      <c r="I377" s="72">
        <v>6</v>
      </c>
      <c r="J377" s="309"/>
      <c r="K377" s="702">
        <f t="shared" si="33"/>
        <v>1.5</v>
      </c>
      <c r="L377" s="3">
        <f t="shared" si="34"/>
        <v>0.2</v>
      </c>
      <c r="M377" s="336">
        <f t="shared" si="32"/>
        <v>5128.2000000000007</v>
      </c>
      <c r="P377" s="463" t="str">
        <f t="shared" si="35"/>
        <v>$5,128 (0.2 FTEs)</v>
      </c>
    </row>
    <row r="378" spans="2:17" outlineLevel="1" x14ac:dyDescent="0.3">
      <c r="B378" s="753"/>
      <c r="C378" s="10" t="s">
        <v>1103</v>
      </c>
      <c r="D378" s="280" t="b">
        <f t="shared" si="31"/>
        <v>1</v>
      </c>
      <c r="E378" s="19"/>
      <c r="F378" s="12">
        <f>F375</f>
        <v>82190</v>
      </c>
      <c r="G378" s="72">
        <v>0</v>
      </c>
      <c r="H378" s="72">
        <f>1/12</f>
        <v>8.3333333333333329E-2</v>
      </c>
      <c r="I378" s="72">
        <v>1</v>
      </c>
      <c r="J378" s="309">
        <v>1</v>
      </c>
      <c r="K378" s="702">
        <f t="shared" ref="K378" si="36">IF(VALUE(J378)=0,MAX(VALUE(G378),IFERROR(ROUND(E$353/I378,0)*H378,0)),MIN(MAX(VALUE(G378),IFERROR(ROUND(E$353/I378,0)*H378,0)),J378))</f>
        <v>1</v>
      </c>
      <c r="L378" s="3">
        <f t="shared" ref="L378" si="37">ROUND(K378*(E$352/E$353),2)</f>
        <v>0.13</v>
      </c>
      <c r="M378" s="336">
        <f t="shared" si="32"/>
        <v>10684.7</v>
      </c>
      <c r="P378" s="463" t="str">
        <f t="shared" si="35"/>
        <v>$10,685 (0.13 FTEs)</v>
      </c>
    </row>
    <row r="379" spans="2:17" outlineLevel="1" x14ac:dyDescent="0.3">
      <c r="B379" s="753"/>
      <c r="C379" s="10" t="s">
        <v>1106</v>
      </c>
      <c r="D379" s="280" t="b">
        <f t="shared" ref="D379" si="38">IF(ISERR(M379),FALSE,IF(M379&lt;0,FALSE,TRUE))</f>
        <v>1</v>
      </c>
      <c r="E379" s="19"/>
      <c r="F379" s="12">
        <f>F383</f>
        <v>52618</v>
      </c>
      <c r="G379" s="72">
        <v>0</v>
      </c>
      <c r="H379" s="72">
        <f>1/12</f>
        <v>8.3333333333333329E-2</v>
      </c>
      <c r="I379" s="72">
        <v>1</v>
      </c>
      <c r="J379" s="309">
        <v>0</v>
      </c>
      <c r="K379" s="702">
        <f t="shared" ref="K379" si="39">IF(VALUE(J379)=0,MAX(VALUE(G379),IFERROR(ROUND(E$353/I379,0)*H379,0)),MIN(MAX(VALUE(G379),IFERROR(ROUND(E$353/I379,0)*H379,0)),J379))</f>
        <v>1.25</v>
      </c>
      <c r="L379" s="3">
        <f t="shared" ref="L379" si="40">ROUND(K379*(E$352/E$353),2)</f>
        <v>0.17</v>
      </c>
      <c r="M379" s="336">
        <f t="shared" si="32"/>
        <v>8945.0600000000013</v>
      </c>
      <c r="P379" s="463" t="str">
        <f t="shared" si="35"/>
        <v>$8,945 (0.17 FTEs)</v>
      </c>
    </row>
    <row r="380" spans="2:17" outlineLevel="1" x14ac:dyDescent="0.3">
      <c r="B380" s="753"/>
      <c r="C380" s="10" t="s">
        <v>1094</v>
      </c>
      <c r="D380" s="280" t="b">
        <f t="shared" si="31"/>
        <v>1</v>
      </c>
      <c r="E380" s="19"/>
      <c r="F380" s="12">
        <v>60000</v>
      </c>
      <c r="G380" s="72">
        <v>1</v>
      </c>
      <c r="H380" s="72">
        <v>0.15</v>
      </c>
      <c r="I380" s="72">
        <v>0.5</v>
      </c>
      <c r="J380" s="309"/>
      <c r="K380" s="702">
        <f t="shared" si="33"/>
        <v>4.5</v>
      </c>
      <c r="L380" s="3">
        <f t="shared" si="34"/>
        <v>0.6</v>
      </c>
      <c r="M380" s="336">
        <f t="shared" si="32"/>
        <v>36000</v>
      </c>
      <c r="P380" s="463" t="str">
        <f t="shared" si="35"/>
        <v>$36,000 (0.6 FTEs)</v>
      </c>
      <c r="Q380" s="754"/>
    </row>
    <row r="381" spans="2:17" outlineLevel="1" x14ac:dyDescent="0.3">
      <c r="B381" s="753"/>
      <c r="C381" s="11" t="s">
        <v>835</v>
      </c>
      <c r="D381" s="280" t="b">
        <f t="shared" si="31"/>
        <v>1</v>
      </c>
      <c r="E381" s="19"/>
      <c r="F381" s="19"/>
      <c r="G381" s="19"/>
      <c r="H381" s="19"/>
      <c r="I381" s="19"/>
      <c r="J381" s="19"/>
      <c r="K381" s="701"/>
      <c r="L381" s="580">
        <f>SUM(L375:L380)</f>
        <v>1.36</v>
      </c>
      <c r="M381" s="53">
        <f>SUM(M375:M380)</f>
        <v>79990.42</v>
      </c>
      <c r="P381" s="581" t="str">
        <f t="shared" si="35"/>
        <v>$79,990 (1.36 FTEs)</v>
      </c>
      <c r="Q381" s="754"/>
    </row>
    <row r="382" spans="2:17" outlineLevel="1" x14ac:dyDescent="0.3">
      <c r="B382" s="753"/>
      <c r="C382" s="10" t="s">
        <v>403</v>
      </c>
      <c r="D382" s="280" t="b">
        <f>IF(ISERR(M382),FALSE,IF(M382&lt;0,FALSE,TRUE))</f>
        <v>1</v>
      </c>
      <c r="E382" s="207">
        <v>1.05</v>
      </c>
      <c r="F382" s="173">
        <f>E382*VLOOKUP(P$5,'C. Demographic Tables'!$B$182:$H$232,5,FALSE)</f>
        <v>20769</v>
      </c>
      <c r="G382" s="72">
        <v>0.5</v>
      </c>
      <c r="H382" s="72">
        <v>1</v>
      </c>
      <c r="I382" s="72">
        <v>1</v>
      </c>
      <c r="J382" s="309"/>
      <c r="K382" s="702">
        <f>IF(VALUE(J382)=0,MAX(VALUE(G382),IFERROR(ROUND(E$353/I382,0)*H382,0)),MIN(MAX(VALUE(G382),IFERROR(ROUND(E$353/I382,0)*H382,0)),J382))</f>
        <v>15</v>
      </c>
      <c r="L382" s="3">
        <f>ROUND(K382*(E$352/E$353),2)</f>
        <v>2</v>
      </c>
      <c r="M382" s="336">
        <f>L382*F382</f>
        <v>41538</v>
      </c>
      <c r="P382" s="463" t="str">
        <f>TEXT(M382,"$#,###")&amp;" ("&amp;L382&amp;" FTEs)"</f>
        <v>$41,538 (2 FTEs)</v>
      </c>
      <c r="Q382" s="754"/>
    </row>
    <row r="383" spans="2:17" outlineLevel="1" x14ac:dyDescent="0.3">
      <c r="B383" s="753"/>
      <c r="C383" s="10" t="s">
        <v>406</v>
      </c>
      <c r="D383" s="280" t="b">
        <f>IF(ISERR(F383),FALSE,IF(F383&lt;0,FALSE,TRUE))</f>
        <v>1</v>
      </c>
      <c r="E383" s="207"/>
      <c r="F383" s="173">
        <v>52618</v>
      </c>
      <c r="G383" t="s">
        <v>1109</v>
      </c>
      <c r="I383" s="314"/>
      <c r="P383" s="475">
        <f>F383/2080</f>
        <v>25.297115384615385</v>
      </c>
    </row>
    <row r="384" spans="2:17" ht="15" outlineLevel="1" thickBot="1" x14ac:dyDescent="0.35">
      <c r="B384" s="753"/>
      <c r="C384" s="10" t="s">
        <v>407</v>
      </c>
      <c r="D384" s="280" t="b">
        <f>IF(ISERR(F384),FALSE,IF(F384&lt;0,FALSE,TRUE))</f>
        <v>1</v>
      </c>
      <c r="E384" s="207">
        <v>0.4</v>
      </c>
      <c r="F384" s="173">
        <f>E384*VLOOKUP(P$5,'C. Demographic Tables'!$B$182:$H$232,7,FALSE)</f>
        <v>20708</v>
      </c>
      <c r="I384" s="756" t="s">
        <v>1095</v>
      </c>
      <c r="J384" s="703"/>
      <c r="K384" s="703">
        <f>16500+(16500*(0.062+0.0145+0.1836-0.0445))</f>
        <v>20057.400000000001</v>
      </c>
      <c r="P384" s="476">
        <f>F384/2080</f>
        <v>9.9557692307692314</v>
      </c>
      <c r="Q384" s="754"/>
    </row>
    <row r="385" spans="2:17" ht="42" outlineLevel="1" thickBot="1" x14ac:dyDescent="0.35">
      <c r="B385" s="753"/>
      <c r="C385" s="634" t="s">
        <v>923</v>
      </c>
      <c r="E385" s="315" t="s">
        <v>873</v>
      </c>
      <c r="F385" s="633" t="s">
        <v>924</v>
      </c>
      <c r="G385" s="633" t="s">
        <v>925</v>
      </c>
      <c r="H385" s="633" t="s">
        <v>926</v>
      </c>
      <c r="I385" s="633" t="s">
        <v>924</v>
      </c>
      <c r="P385"/>
    </row>
    <row r="386" spans="2:17" outlineLevel="1" x14ac:dyDescent="0.3">
      <c r="B386" s="753"/>
      <c r="C386" s="10" t="s">
        <v>875</v>
      </c>
      <c r="D386" s="280" t="b">
        <f>IF(OR(G386="Yes",G386="Y"),IF(H386&gt;=0,TRUE,FALSE),IF(E386&gt;=0,TRUE,FALSE))</f>
        <v>1</v>
      </c>
      <c r="E386" s="632">
        <f>VLOOKUP(P$5,'C. Demographic Tables'!$N$239:$AE$289,15,FALSE)</f>
        <v>0.71369091989134437</v>
      </c>
      <c r="F386" s="173">
        <f>IF(OR(G386="Yes",G386="Y"),"",E386*F383)</f>
        <v>37552.988822842759</v>
      </c>
      <c r="G386" s="307" t="s">
        <v>686</v>
      </c>
      <c r="H386" s="637">
        <v>0.8</v>
      </c>
      <c r="I386" s="173" t="str">
        <f>IF(OR(G386="Yes",G386="Y"),F383*H386,"")</f>
        <v/>
      </c>
      <c r="P386" s="635">
        <f>IF(OR(G386="Yes",G386="Y"),I386/2080,F386/2080)</f>
        <v>18.054321549443635</v>
      </c>
    </row>
    <row r="387" spans="2:17" outlineLevel="1" x14ac:dyDescent="0.3">
      <c r="B387" s="753"/>
      <c r="C387" s="10" t="s">
        <v>874</v>
      </c>
      <c r="D387" s="280" t="b">
        <f>IF(OR(G387="Yes",G387="Y"),IF(H387&gt;=0,TRUE,FALSE),IF(E387&gt;=0,TRUE,FALSE))</f>
        <v>1</v>
      </c>
      <c r="E387" s="632">
        <f>VLOOKUP(P$5,'C. Demographic Tables'!$N$239:$AE$289,16,FALSE)</f>
        <v>0.8575769867275912</v>
      </c>
      <c r="F387" s="173">
        <f>IF(OR(G387="Yes",G387="Y"),"",E387*F383)</f>
        <v>45123.985887632392</v>
      </c>
      <c r="G387" s="307" t="s">
        <v>686</v>
      </c>
      <c r="H387" s="637">
        <v>0.9</v>
      </c>
      <c r="I387" s="173" t="str">
        <f>IF(OR(G387="Yes",G387="Y"),F383*H387,"")</f>
        <v/>
      </c>
      <c r="P387" s="475">
        <f t="shared" ref="P387:P390" si="41">IF(OR(G387="Yes",G387="Y"),I387/2080,F387/2080)</f>
        <v>21.694223984438651</v>
      </c>
    </row>
    <row r="388" spans="2:17" outlineLevel="1" x14ac:dyDescent="0.3">
      <c r="B388" s="753"/>
      <c r="C388" s="10" t="s">
        <v>916</v>
      </c>
      <c r="D388" s="280" t="b">
        <f>IF(OR(G388="Yes",G388="Y"),IF(H388&gt;=0,TRUE,FALSE),IF(E388&gt;=0,TRUE,FALSE))</f>
        <v>1</v>
      </c>
      <c r="E388" s="632">
        <f>VLOOKUP(P$5,'C. Demographic Tables'!$N$239:$AE$289,17,FALSE)</f>
        <v>1.0484337415808089</v>
      </c>
      <c r="F388" s="173" t="str">
        <f>IF(OR(G388="Yes",G388="Y"),"",E388*F383)</f>
        <v/>
      </c>
      <c r="G388" s="307" t="s">
        <v>359</v>
      </c>
      <c r="H388" s="637">
        <v>1</v>
      </c>
      <c r="I388" s="173">
        <f>IF(OR(G388="Yes",G388="Y"),F383*H388,"")</f>
        <v>52618</v>
      </c>
      <c r="P388" s="475">
        <f t="shared" si="41"/>
        <v>25.297115384615385</v>
      </c>
    </row>
    <row r="389" spans="2:17" outlineLevel="1" x14ac:dyDescent="0.3">
      <c r="B389" s="753"/>
      <c r="C389" s="10" t="s">
        <v>876</v>
      </c>
      <c r="D389" s="280" t="b">
        <f>IF(OR(G389="Yes",G389="Y"),IF(H389&gt;=0,TRUE,FALSE),IF(E389&gt;=0,TRUE,FALSE))</f>
        <v>1</v>
      </c>
      <c r="E389" s="632">
        <f>1/(VLOOKUP(P$5,'C. Demographic Tables'!$B$303:$L$353,5,FALSE)*VLOOKUP(P$5,'C. Demographic Tables'!$N$239:$AE$289,18,FALSE)+VLOOKUP(P$5,'C. Demographic Tables'!$B$303:$L$353,6,FALSE))</f>
        <v>0.8839072969839652</v>
      </c>
      <c r="F389" s="173" t="str">
        <f>IF(OR(G389="Yes",G389="Y"),"",E389*F384)</f>
        <v/>
      </c>
      <c r="G389" s="307" t="s">
        <v>359</v>
      </c>
      <c r="H389" s="637">
        <v>1</v>
      </c>
      <c r="I389" s="173">
        <f>IF(OR(G389="Yes",G389="Y"),F384*H389,"")</f>
        <v>20708</v>
      </c>
      <c r="P389" s="475">
        <f t="shared" si="41"/>
        <v>9.9557692307692314</v>
      </c>
      <c r="Q389" s="754"/>
    </row>
    <row r="390" spans="2:17" ht="15" outlineLevel="1" thickBot="1" x14ac:dyDescent="0.35">
      <c r="B390" s="753"/>
      <c r="C390" s="10" t="s">
        <v>906</v>
      </c>
      <c r="D390" s="280" t="b">
        <f>IF(OR(G390="Yes",G390="Y"),IF(H390&gt;=0,TRUE,FALSE),IF(E390&gt;=0,TRUE,FALSE))</f>
        <v>1</v>
      </c>
      <c r="E390" s="632">
        <f>E389*VLOOKUP(P$5,'C. Demographic Tables'!$N$239:$AE$289,18,FALSE)</f>
        <v>1.0536366286802763</v>
      </c>
      <c r="F390" s="173" t="str">
        <f>IF(OR(G390="Yes",G390="Y"),"",E390*F384)</f>
        <v/>
      </c>
      <c r="G390" s="307" t="s">
        <v>359</v>
      </c>
      <c r="H390" s="637">
        <v>1</v>
      </c>
      <c r="I390" s="173">
        <f>IF(OR(G390="Yes",G390="Y"),F384*H390,"")</f>
        <v>20708</v>
      </c>
      <c r="P390" s="476">
        <f t="shared" si="41"/>
        <v>9.9557692307692314</v>
      </c>
      <c r="Q390" s="754"/>
    </row>
    <row r="391" spans="2:17" hidden="1" outlineLevel="1" x14ac:dyDescent="0.3">
      <c r="B391" s="26"/>
      <c r="C391" s="220"/>
      <c r="E391" s="310"/>
      <c r="F391" s="311"/>
      <c r="G391" s="312"/>
      <c r="H391" s="243"/>
      <c r="I391" s="243" t="s">
        <v>19</v>
      </c>
      <c r="J391" s="313"/>
      <c r="K391" s="313"/>
      <c r="L391" s="313"/>
      <c r="M391" s="317"/>
      <c r="P391"/>
    </row>
    <row r="392" spans="2:17" ht="42" hidden="1" outlineLevel="1" thickBot="1" x14ac:dyDescent="0.35">
      <c r="B392" s="26"/>
      <c r="C392" s="7" t="s">
        <v>689</v>
      </c>
      <c r="E392" s="315" t="s">
        <v>404</v>
      </c>
      <c r="F392" s="316" t="s">
        <v>239</v>
      </c>
      <c r="G392" s="319" t="s">
        <v>385</v>
      </c>
      <c r="H392" s="319" t="s">
        <v>388</v>
      </c>
      <c r="I392" s="319" t="s">
        <v>387</v>
      </c>
      <c r="J392" s="319" t="s">
        <v>386</v>
      </c>
      <c r="K392" s="320" t="s">
        <v>384</v>
      </c>
      <c r="L392" s="320" t="s">
        <v>383</v>
      </c>
      <c r="M392" s="320" t="s">
        <v>389</v>
      </c>
      <c r="P392"/>
    </row>
    <row r="393" spans="2:17" hidden="1" outlineLevel="1" x14ac:dyDescent="0.3">
      <c r="B393" s="26"/>
      <c r="C393" s="10" t="s">
        <v>409</v>
      </c>
      <c r="D393" s="280" t="b">
        <f t="shared" ref="D393:D402" si="42">IF(ISERR(M393),FALSE,IF(M393&lt;0,FALSE,TRUE))</f>
        <v>1</v>
      </c>
      <c r="E393" s="207">
        <v>1</v>
      </c>
      <c r="F393" s="173">
        <f>E393*VLOOKUP(P$5,'C. Demographic Tables'!$B$239:$L$289,2,FALSE)</f>
        <v>113743</v>
      </c>
      <c r="G393" s="318">
        <v>0</v>
      </c>
      <c r="H393" s="72">
        <f>1/6</f>
        <v>0.16666666666666666</v>
      </c>
      <c r="I393" s="72">
        <v>4</v>
      </c>
      <c r="J393" s="309">
        <v>1</v>
      </c>
      <c r="K393" s="702">
        <f>IF(VALUE(J393)=0,MAX(VALUE(G393),IFERROR(ROUND(E$355/I393,0)*H393,0)),MIN(MAX(VALUE(G393),IFERROR(ROUND(E$355/I393,0)*H393,0)),J393))</f>
        <v>0.16666666666666666</v>
      </c>
      <c r="L393" s="3">
        <f>ROUND(K393*(E$354/E$355),2)</f>
        <v>0.13</v>
      </c>
      <c r="M393" s="336">
        <f t="shared" ref="M393:M400" si="43">L393*F393</f>
        <v>14786.59</v>
      </c>
      <c r="P393" s="462" t="str">
        <f>TEXT(M393,"$#,###")&amp;" ("&amp;L393&amp;" FTEs)"</f>
        <v>$14,787 (0.13 FTEs)</v>
      </c>
    </row>
    <row r="394" spans="2:17" hidden="1" outlineLevel="1" x14ac:dyDescent="0.3">
      <c r="B394" s="26"/>
      <c r="C394" s="10" t="s">
        <v>410</v>
      </c>
      <c r="D394" s="280" t="b">
        <f t="shared" si="42"/>
        <v>1</v>
      </c>
      <c r="E394" s="207">
        <v>1</v>
      </c>
      <c r="F394" s="173">
        <f>E394*VLOOKUP(P$5,'C. Demographic Tables'!$B$239:$L$289,3,FALSE)</f>
        <v>72555</v>
      </c>
      <c r="G394" s="318">
        <v>0</v>
      </c>
      <c r="H394" s="72">
        <v>1</v>
      </c>
      <c r="I394" s="72">
        <v>4</v>
      </c>
      <c r="J394" s="309">
        <v>1</v>
      </c>
      <c r="K394" s="702">
        <f t="shared" ref="K394:K401" si="44">IF(VALUE(J394)=0,MAX(VALUE(G394),IFERROR(ROUND(E$355/I394,0)*H394,0)),MIN(MAX(VALUE(G394),IFERROR(ROUND(E$355/I394,0)*H394,0)),J394))</f>
        <v>1</v>
      </c>
      <c r="L394" s="3">
        <f t="shared" ref="L394:L401" si="45">ROUND(K394*(E$354/E$355),2)</f>
        <v>0.75</v>
      </c>
      <c r="M394" s="336">
        <f t="shared" si="43"/>
        <v>54416.25</v>
      </c>
      <c r="P394" s="463" t="str">
        <f t="shared" ref="P394:P402" si="46">TEXT(M394,"$#,###")&amp;" ("&amp;L394&amp;" FTEs)"</f>
        <v>$54,416 (0.75 FTEs)</v>
      </c>
    </row>
    <row r="395" spans="2:17" hidden="1" outlineLevel="1" x14ac:dyDescent="0.3">
      <c r="B395" s="26"/>
      <c r="C395" s="10" t="s">
        <v>411</v>
      </c>
      <c r="D395" s="280" t="b">
        <f t="shared" si="42"/>
        <v>1</v>
      </c>
      <c r="E395" s="207">
        <v>1</v>
      </c>
      <c r="F395" s="173">
        <f>E395*VLOOKUP(P$5,'C. Demographic Tables'!$B$239:$L$289,4,FALSE)</f>
        <v>48769</v>
      </c>
      <c r="G395" s="318">
        <v>0</v>
      </c>
      <c r="H395" s="72">
        <f t="shared" ref="H395:H400" si="47">1/6</f>
        <v>0.16666666666666666</v>
      </c>
      <c r="I395" s="72">
        <v>4</v>
      </c>
      <c r="J395" s="309"/>
      <c r="K395" s="702">
        <f t="shared" si="44"/>
        <v>0.16666666666666666</v>
      </c>
      <c r="L395" s="3">
        <f t="shared" si="45"/>
        <v>0.13</v>
      </c>
      <c r="M395" s="336">
        <f t="shared" si="43"/>
        <v>6339.97</v>
      </c>
      <c r="P395" s="463" t="str">
        <f t="shared" si="46"/>
        <v>$6,340 (0.13 FTEs)</v>
      </c>
    </row>
    <row r="396" spans="2:17" hidden="1" outlineLevel="1" x14ac:dyDescent="0.3">
      <c r="B396" s="26"/>
      <c r="C396" s="10" t="s">
        <v>412</v>
      </c>
      <c r="D396" s="280" t="b">
        <f t="shared" si="42"/>
        <v>1</v>
      </c>
      <c r="E396" s="207">
        <v>1</v>
      </c>
      <c r="F396" s="173">
        <f>E396*VLOOKUP(P$5,'C. Demographic Tables'!$B$239:$L$289,5,FALSE)</f>
        <v>32291</v>
      </c>
      <c r="G396" s="318">
        <v>0</v>
      </c>
      <c r="H396" s="72">
        <f t="shared" si="47"/>
        <v>0.16666666666666666</v>
      </c>
      <c r="I396" s="72">
        <v>4</v>
      </c>
      <c r="J396" s="309"/>
      <c r="K396" s="702">
        <f t="shared" si="44"/>
        <v>0.16666666666666666</v>
      </c>
      <c r="L396" s="3">
        <f t="shared" si="45"/>
        <v>0.13</v>
      </c>
      <c r="M396" s="336">
        <f t="shared" si="43"/>
        <v>4197.83</v>
      </c>
      <c r="P396" s="463" t="str">
        <f t="shared" si="46"/>
        <v>$4,198 (0.13 FTEs)</v>
      </c>
    </row>
    <row r="397" spans="2:17" hidden="1" outlineLevel="1" x14ac:dyDescent="0.3">
      <c r="B397" s="26"/>
      <c r="C397" s="10" t="s">
        <v>413</v>
      </c>
      <c r="D397" s="280" t="b">
        <f t="shared" si="42"/>
        <v>1</v>
      </c>
      <c r="E397" s="207">
        <v>1</v>
      </c>
      <c r="F397" s="173">
        <f>E397*VLOOKUP(P$5,'C. Demographic Tables'!$B$239:$L$289,6,FALSE)</f>
        <v>40804</v>
      </c>
      <c r="G397" s="318">
        <v>0</v>
      </c>
      <c r="H397" s="72">
        <f t="shared" si="47"/>
        <v>0.16666666666666666</v>
      </c>
      <c r="I397" s="72">
        <v>4</v>
      </c>
      <c r="J397" s="309"/>
      <c r="K397" s="702">
        <f t="shared" si="44"/>
        <v>0.16666666666666666</v>
      </c>
      <c r="L397" s="3">
        <f t="shared" si="45"/>
        <v>0.13</v>
      </c>
      <c r="M397" s="336">
        <f t="shared" si="43"/>
        <v>5304.52</v>
      </c>
      <c r="P397" s="463" t="str">
        <f t="shared" si="46"/>
        <v>$5,305 (0.13 FTEs)</v>
      </c>
    </row>
    <row r="398" spans="2:17" hidden="1" outlineLevel="1" x14ac:dyDescent="0.3">
      <c r="B398" s="26"/>
      <c r="C398" s="10" t="s">
        <v>414</v>
      </c>
      <c r="D398" s="280" t="b">
        <f t="shared" si="42"/>
        <v>1</v>
      </c>
      <c r="E398" s="207">
        <v>1</v>
      </c>
      <c r="F398" s="173">
        <f>E398*VLOOKUP(P$5,'C. Demographic Tables'!$B$239:$L$289,7,FALSE)</f>
        <v>43974</v>
      </c>
      <c r="G398" s="318">
        <v>0</v>
      </c>
      <c r="H398" s="72">
        <f t="shared" si="47"/>
        <v>0.16666666666666666</v>
      </c>
      <c r="I398" s="72">
        <v>4</v>
      </c>
      <c r="J398" s="309"/>
      <c r="K398" s="702">
        <f t="shared" si="44"/>
        <v>0.16666666666666666</v>
      </c>
      <c r="L398" s="3">
        <f t="shared" si="45"/>
        <v>0.13</v>
      </c>
      <c r="M398" s="336">
        <f t="shared" si="43"/>
        <v>5716.62</v>
      </c>
      <c r="P398" s="463" t="str">
        <f t="shared" si="46"/>
        <v>$5,717 (0.13 FTEs)</v>
      </c>
    </row>
    <row r="399" spans="2:17" hidden="1" outlineLevel="1" x14ac:dyDescent="0.3">
      <c r="B399" s="26"/>
      <c r="C399" s="10" t="s">
        <v>415</v>
      </c>
      <c r="D399" s="280" t="b">
        <f t="shared" si="42"/>
        <v>1</v>
      </c>
      <c r="E399" s="207">
        <v>1</v>
      </c>
      <c r="F399" s="173">
        <f>E399*VLOOKUP(P$5,'C. Demographic Tables'!$B$239:$L$289,8,FALSE)</f>
        <v>63403</v>
      </c>
      <c r="G399" s="318">
        <v>0</v>
      </c>
      <c r="H399" s="72">
        <f t="shared" si="47"/>
        <v>0.16666666666666666</v>
      </c>
      <c r="I399" s="72">
        <v>4</v>
      </c>
      <c r="J399" s="309"/>
      <c r="K399" s="702">
        <f t="shared" si="44"/>
        <v>0.16666666666666666</v>
      </c>
      <c r="L399" s="3">
        <f t="shared" si="45"/>
        <v>0.13</v>
      </c>
      <c r="M399" s="336">
        <f t="shared" si="43"/>
        <v>8242.39</v>
      </c>
      <c r="P399" s="463" t="str">
        <f t="shared" si="46"/>
        <v>$8,242 (0.13 FTEs)</v>
      </c>
    </row>
    <row r="400" spans="2:17" hidden="1" outlineLevel="1" x14ac:dyDescent="0.3">
      <c r="B400" s="26"/>
      <c r="C400" s="10" t="s">
        <v>416</v>
      </c>
      <c r="D400" s="280" t="b">
        <f t="shared" si="42"/>
        <v>1</v>
      </c>
      <c r="E400" s="207">
        <v>1</v>
      </c>
      <c r="F400" s="173">
        <f>E400*VLOOKUP(P$5,'C. Demographic Tables'!$B$239:$L$289,9,FALSE)</f>
        <v>40000</v>
      </c>
      <c r="G400" s="318">
        <v>0</v>
      </c>
      <c r="H400" s="72">
        <f t="shared" si="47"/>
        <v>0.16666666666666666</v>
      </c>
      <c r="I400" s="72">
        <v>4</v>
      </c>
      <c r="J400" s="309"/>
      <c r="K400" s="702">
        <f t="shared" si="44"/>
        <v>0.16666666666666666</v>
      </c>
      <c r="L400" s="3">
        <f t="shared" si="45"/>
        <v>0.13</v>
      </c>
      <c r="M400" s="336">
        <f t="shared" si="43"/>
        <v>5200</v>
      </c>
      <c r="P400" s="463" t="str">
        <f t="shared" si="46"/>
        <v>$5,200 (0.13 FTEs)</v>
      </c>
    </row>
    <row r="401" spans="2:17" hidden="1" outlineLevel="1" x14ac:dyDescent="0.3">
      <c r="B401" s="26"/>
      <c r="C401" s="10" t="s">
        <v>833</v>
      </c>
      <c r="D401" s="280" t="b">
        <f t="shared" si="42"/>
        <v>1</v>
      </c>
      <c r="E401" s="19"/>
      <c r="F401" s="12">
        <v>0</v>
      </c>
      <c r="G401" s="72">
        <v>0</v>
      </c>
      <c r="H401" s="72">
        <v>0</v>
      </c>
      <c r="I401" s="72">
        <v>0</v>
      </c>
      <c r="J401" s="309"/>
      <c r="K401" s="702">
        <f t="shared" si="44"/>
        <v>0</v>
      </c>
      <c r="L401" s="3">
        <f t="shared" si="45"/>
        <v>0</v>
      </c>
      <c r="M401" s="336">
        <f>L401*F401</f>
        <v>0</v>
      </c>
      <c r="P401" s="463" t="str">
        <f t="shared" si="46"/>
        <v>$ (0 FTEs)</v>
      </c>
    </row>
    <row r="402" spans="2:17" hidden="1" outlineLevel="1" x14ac:dyDescent="0.3">
      <c r="B402" s="26"/>
      <c r="C402" s="11" t="s">
        <v>832</v>
      </c>
      <c r="D402" s="280" t="b">
        <f t="shared" si="42"/>
        <v>1</v>
      </c>
      <c r="E402" s="19"/>
      <c r="F402" s="19"/>
      <c r="G402" s="19"/>
      <c r="H402" s="19"/>
      <c r="I402" s="19"/>
      <c r="J402" s="19"/>
      <c r="K402" s="19"/>
      <c r="L402" s="580">
        <f>SUM(L393:L401)</f>
        <v>1.6599999999999997</v>
      </c>
      <c r="M402" s="53">
        <f>SUM(M393:M401)</f>
        <v>104204.17</v>
      </c>
      <c r="P402" s="581" t="str">
        <f t="shared" si="46"/>
        <v>$104,204 (1.66 FTEs)</v>
      </c>
    </row>
    <row r="403" spans="2:17" hidden="1" outlineLevel="1" x14ac:dyDescent="0.3">
      <c r="B403" s="26"/>
      <c r="C403" s="10" t="s">
        <v>417</v>
      </c>
      <c r="D403" s="280" t="b">
        <f>IF(ISERR(F403),FALSE,IF(F403&lt;0,FALSE,TRUE))</f>
        <v>1</v>
      </c>
      <c r="E403" s="207">
        <v>1</v>
      </c>
      <c r="F403" s="173">
        <f>E403*VLOOKUP(P$5,'C. Demographic Tables'!$B$239:$L$289,10,FALSE)</f>
        <v>29225</v>
      </c>
      <c r="I403" s="314"/>
      <c r="P403" s="475">
        <f>F403/2080</f>
        <v>14.05048076923077</v>
      </c>
    </row>
    <row r="404" spans="2:17" ht="15" hidden="1" outlineLevel="1" thickBot="1" x14ac:dyDescent="0.35">
      <c r="B404" s="26"/>
      <c r="C404" s="10" t="s">
        <v>418</v>
      </c>
      <c r="D404" s="280" t="b">
        <f>IF(ISERR(F404),FALSE,IF(F404&lt;0,FALSE,TRUE))</f>
        <v>1</v>
      </c>
      <c r="E404" s="207">
        <v>1</v>
      </c>
      <c r="F404" s="173">
        <f>E404*VLOOKUP(P$5,'C. Demographic Tables'!$B$239:$L$289,11,FALSE)</f>
        <v>15124</v>
      </c>
      <c r="I404" s="314"/>
      <c r="P404" s="476">
        <f>F404/2080</f>
        <v>7.2711538461538465</v>
      </c>
    </row>
    <row r="405" spans="2:17" ht="42" hidden="1" outlineLevel="1" thickBot="1" x14ac:dyDescent="0.35">
      <c r="B405" s="26"/>
      <c r="C405" s="634" t="s">
        <v>923</v>
      </c>
      <c r="E405" s="315" t="s">
        <v>873</v>
      </c>
      <c r="F405" s="633" t="s">
        <v>924</v>
      </c>
      <c r="G405" s="633" t="s">
        <v>925</v>
      </c>
      <c r="H405" s="633" t="s">
        <v>926</v>
      </c>
      <c r="I405" s="633" t="s">
        <v>924</v>
      </c>
      <c r="P405"/>
      <c r="Q405" s="754" t="s">
        <v>1101</v>
      </c>
    </row>
    <row r="406" spans="2:17" hidden="1" outlineLevel="1" x14ac:dyDescent="0.3">
      <c r="B406" s="26"/>
      <c r="C406" s="10" t="s">
        <v>875</v>
      </c>
      <c r="D406" s="280" t="b">
        <f>IF(OR(G406="Yes",G406="Y"),IF(H406&gt;=0,TRUE,FALSE),IF(E406&gt;=0,TRUE,FALSE))</f>
        <v>1</v>
      </c>
      <c r="E406" s="632">
        <f>VLOOKUP(P$5,'C. Demographic Tables'!$N$239:$AE$289,15,FALSE)</f>
        <v>0.71369091989134437</v>
      </c>
      <c r="F406" s="173">
        <f>IF(OR(G406="Yes",G406="Y"),"",E406*F403)</f>
        <v>20857.61713382454</v>
      </c>
      <c r="G406" s="307" t="s">
        <v>686</v>
      </c>
      <c r="H406" s="637">
        <v>0.8</v>
      </c>
      <c r="I406" s="173" t="str">
        <f>IF(OR(G406="Yes",G406="Y"),F403*H406,"")</f>
        <v/>
      </c>
      <c r="P406" s="635">
        <f>IF(OR(G406="Yes",G406="Y"),I406/2080,F406/2080)</f>
        <v>10.027700545107953</v>
      </c>
    </row>
    <row r="407" spans="2:17" hidden="1" outlineLevel="1" x14ac:dyDescent="0.3">
      <c r="B407" s="26"/>
      <c r="C407" s="10" t="s">
        <v>874</v>
      </c>
      <c r="D407" s="280" t="b">
        <f>IF(OR(G407="Yes",G407="Y"),IF(H407&gt;=0,TRUE,FALSE),IF(E407&gt;=0,TRUE,FALSE))</f>
        <v>1</v>
      </c>
      <c r="E407" s="632">
        <f>VLOOKUP(P$5,'C. Demographic Tables'!$N$239:$AE$289,16,FALSE)</f>
        <v>0.8575769867275912</v>
      </c>
      <c r="F407" s="173">
        <f>IF(OR(G407="Yes",G407="Y"),"",E407*F403)</f>
        <v>25062.687437113851</v>
      </c>
      <c r="G407" s="307" t="s">
        <v>686</v>
      </c>
      <c r="H407" s="637">
        <v>0.9</v>
      </c>
      <c r="I407" s="173" t="str">
        <f>IF(OR(G407="Yes",G407="Y"),F403*H407,"")</f>
        <v/>
      </c>
      <c r="P407" s="475">
        <f t="shared" ref="P407:P410" si="48">IF(OR(G407="Yes",G407="Y"),I407/2080,F407/2080)</f>
        <v>12.04936896015089</v>
      </c>
    </row>
    <row r="408" spans="2:17" hidden="1" outlineLevel="1" x14ac:dyDescent="0.3">
      <c r="B408" s="26"/>
      <c r="C408" s="10" t="s">
        <v>916</v>
      </c>
      <c r="D408" s="280" t="b">
        <f>IF(OR(G408="Yes",G408="Y"),IF(H408&gt;=0,TRUE,FALSE),IF(E408&gt;=0,TRUE,FALSE))</f>
        <v>1</v>
      </c>
      <c r="E408" s="632">
        <f>VLOOKUP(P$5,'C. Demographic Tables'!$N$239:$AE$289,17,FALSE)</f>
        <v>1.0484337415808089</v>
      </c>
      <c r="F408" s="173">
        <f>IF(OR(G408="Yes",G408="Y"),"",E408*F403)</f>
        <v>30640.476097699142</v>
      </c>
      <c r="G408" s="307" t="s">
        <v>686</v>
      </c>
      <c r="H408" s="637">
        <v>1.1000000000000001</v>
      </c>
      <c r="I408" s="173" t="str">
        <f>IF(OR(G408="Yes",G408="Y"),F403*H408,"")</f>
        <v/>
      </c>
      <c r="P408" s="475">
        <f t="shared" si="48"/>
        <v>14.730998123893817</v>
      </c>
    </row>
    <row r="409" spans="2:17" hidden="1" outlineLevel="1" x14ac:dyDescent="0.3">
      <c r="B409" s="26"/>
      <c r="C409" s="10" t="s">
        <v>876</v>
      </c>
      <c r="D409" s="280" t="b">
        <f>IF(OR(G409="Yes",G409="Y"),IF(H409&gt;=0,TRUE,FALSE),IF(E409&gt;=0,TRUE,FALSE))</f>
        <v>1</v>
      </c>
      <c r="E409" s="632">
        <f>1/(VLOOKUP(P$5,'C. Demographic Tables'!$B$303:$L$353,5,FALSE)*VLOOKUP(P$5,'C. Demographic Tables'!$N$239:$AE$289,18,FALSE)+VLOOKUP(P$5,'C. Demographic Tables'!$B$303:$L$353,6,FALSE))</f>
        <v>0.8839072969839652</v>
      </c>
      <c r="F409" s="173">
        <f>IF(OR(G409="Yes",G409="Y"),"",E409*F404)</f>
        <v>13368.21395958549</v>
      </c>
      <c r="G409" s="307" t="s">
        <v>686</v>
      </c>
      <c r="H409" s="637">
        <v>0.9</v>
      </c>
      <c r="I409" s="173" t="str">
        <f>IF(OR(G409="Yes",G409="Y"),F404*H409,"")</f>
        <v/>
      </c>
      <c r="P409" s="475">
        <f t="shared" si="48"/>
        <v>6.4270259421084086</v>
      </c>
    </row>
    <row r="410" spans="2:17" ht="15" hidden="1" outlineLevel="1" thickBot="1" x14ac:dyDescent="0.35">
      <c r="B410" s="26"/>
      <c r="C410" s="10" t="s">
        <v>906</v>
      </c>
      <c r="D410" s="280" t="b">
        <f>IF(OR(G410="Yes",G410="Y"),IF(H410&gt;=0,TRUE,FALSE),IF(E410&gt;=0,TRUE,FALSE))</f>
        <v>1</v>
      </c>
      <c r="E410" s="632">
        <f>E409*VLOOKUP(P$5,'C. Demographic Tables'!$N$239:$AE$289,18,FALSE)</f>
        <v>1.0536366286802763</v>
      </c>
      <c r="F410" s="173">
        <f>IF(OR(G410="Yes",G410="Y"),"",E410*F404)</f>
        <v>15935.200372160498</v>
      </c>
      <c r="G410" s="307" t="s">
        <v>686</v>
      </c>
      <c r="H410" s="637">
        <v>1.1000000000000001</v>
      </c>
      <c r="I410" s="173" t="str">
        <f>IF(OR(G410="Yes",G410="Y"),F404*H410,"")</f>
        <v/>
      </c>
      <c r="P410" s="476">
        <f t="shared" si="48"/>
        <v>7.6611540250771624</v>
      </c>
    </row>
    <row r="411" spans="2:17" ht="15" outlineLevel="1" thickBot="1" x14ac:dyDescent="0.35">
      <c r="B411" s="26"/>
      <c r="C411" s="338"/>
      <c r="E411" s="252" t="s">
        <v>57</v>
      </c>
      <c r="I411" s="208"/>
      <c r="J411" s="208"/>
      <c r="K411" s="208"/>
      <c r="P411"/>
    </row>
    <row r="412" spans="2:17" outlineLevel="1" x14ac:dyDescent="0.3">
      <c r="B412" s="26"/>
      <c r="C412" s="7" t="s">
        <v>724</v>
      </c>
      <c r="D412" s="280" t="b">
        <f>IF(AND(E412&gt;=0,E412&lt;=365),TRUE,FALSE)</f>
        <v>1</v>
      </c>
      <c r="E412" s="209">
        <v>15</v>
      </c>
      <c r="I412" s="208"/>
      <c r="J412" s="208"/>
      <c r="K412" s="208"/>
      <c r="P412" s="477">
        <f>E412</f>
        <v>15</v>
      </c>
    </row>
    <row r="413" spans="2:17" outlineLevel="1" x14ac:dyDescent="0.3">
      <c r="B413" s="26"/>
      <c r="C413" s="7" t="s">
        <v>390</v>
      </c>
      <c r="E413" s="700">
        <f>E215</f>
        <v>16</v>
      </c>
      <c r="I413" s="208"/>
      <c r="P413" s="446">
        <f>E413</f>
        <v>16</v>
      </c>
    </row>
    <row r="414" spans="2:17" outlineLevel="1" x14ac:dyDescent="0.3">
      <c r="B414" s="26"/>
      <c r="C414" s="59" t="s">
        <v>431</v>
      </c>
      <c r="E414" s="228">
        <f>E412*E413*8</f>
        <v>1920</v>
      </c>
      <c r="I414" s="208"/>
      <c r="L414" s="308" t="s">
        <v>429</v>
      </c>
      <c r="M414" s="307" t="s">
        <v>686</v>
      </c>
      <c r="N414" s="348">
        <v>0.04</v>
      </c>
      <c r="P414" s="537">
        <f>IF(OR(M414="Y",M414="Yes"),N414*SUM('F. Provider-Level Services'!E89:E94,'F. Provider-Level Services'!E253:E258,'F. Provider-Level Services'!E417:E422)/SUM('F. Provider-Level Services'!E83,'F. Provider-Level Services'!E247,'F. Provider-Level Services'!E411),E414)</f>
        <v>1920</v>
      </c>
    </row>
    <row r="415" spans="2:17" ht="15" outlineLevel="1" thickBot="1" x14ac:dyDescent="0.35">
      <c r="B415" s="26"/>
      <c r="C415" s="7" t="s">
        <v>240</v>
      </c>
      <c r="D415" s="280" t="b">
        <f>IF(E415&gt;=0,TRUE,FALSE)</f>
        <v>1</v>
      </c>
      <c r="E415" s="212">
        <v>4.4499999999999998E-2</v>
      </c>
      <c r="I415" s="208"/>
      <c r="L415" s="208"/>
      <c r="M415" s="208"/>
      <c r="P415" s="479">
        <f>E415</f>
        <v>4.4499999999999998E-2</v>
      </c>
      <c r="Q415" s="754"/>
    </row>
    <row r="416" spans="2:17" ht="15" outlineLevel="1" thickBot="1" x14ac:dyDescent="0.35">
      <c r="B416" s="29"/>
      <c r="C416" s="7" t="s">
        <v>244</v>
      </c>
      <c r="E416" s="252" t="s">
        <v>57</v>
      </c>
      <c r="I416" s="208"/>
      <c r="P416"/>
    </row>
    <row r="417" spans="2:22" outlineLevel="1" x14ac:dyDescent="0.3">
      <c r="B417" s="26"/>
      <c r="C417" s="10" t="s">
        <v>18</v>
      </c>
      <c r="D417" s="280" t="b">
        <f>IF(OR(AND(E417&gt;=0,M417="No"),AND(N417&gt;=0,M417="Yes")),TRUE,FALSE)</f>
        <v>1</v>
      </c>
      <c r="E417" s="12">
        <v>10000</v>
      </c>
      <c r="I417" s="208"/>
      <c r="L417" s="308" t="s">
        <v>430</v>
      </c>
      <c r="M417" s="307" t="s">
        <v>359</v>
      </c>
      <c r="N417" s="677">
        <v>0.33800000000000002</v>
      </c>
      <c r="P417" s="508" t="str">
        <f ca="1">IFERROR(IF(OR(M417="Y",M417="Yes"),N417*SUM('F. Provider-Level Services'!P89:P96)/'F. Provider-Level Services'!P81,E417),"")</f>
        <v/>
      </c>
      <c r="Q417" s="754"/>
    </row>
    <row r="418" spans="2:22" outlineLevel="1" x14ac:dyDescent="0.3">
      <c r="B418" s="26"/>
      <c r="C418" s="10" t="s">
        <v>20</v>
      </c>
      <c r="D418" s="280" t="b">
        <f>IF(OR(AND(E418&gt;=0,M418="No"),AND(N418&gt;=0,M418="Yes")),TRUE,FALSE)</f>
        <v>1</v>
      </c>
      <c r="E418" s="12">
        <v>0</v>
      </c>
      <c r="I418" s="208"/>
      <c r="L418" s="308" t="s">
        <v>430</v>
      </c>
      <c r="M418" s="307" t="s">
        <v>686</v>
      </c>
      <c r="N418" s="677">
        <v>0.33800000000000002</v>
      </c>
      <c r="P418" s="534">
        <f>IFERROR(IF(OR(M418="Y",M418="Yes"),N418*SUM('F. Provider-Level Services'!P253:P260)/'F. Provider-Level Services'!P245,E418),"")</f>
        <v>0</v>
      </c>
      <c r="Q418" s="754"/>
    </row>
    <row r="419" spans="2:22" ht="15" outlineLevel="1" thickBot="1" x14ac:dyDescent="0.35">
      <c r="B419" s="26"/>
      <c r="C419" s="10" t="s">
        <v>19</v>
      </c>
      <c r="D419" s="280" t="b">
        <f>IF(OR(AND(E419&gt;=0,M419="No"),AND(N419&gt;=0,M419="Yes")),TRUE,FALSE)</f>
        <v>1</v>
      </c>
      <c r="E419" s="12">
        <v>10000</v>
      </c>
      <c r="I419" s="208"/>
      <c r="L419" s="308" t="s">
        <v>430</v>
      </c>
      <c r="M419" s="307" t="s">
        <v>359</v>
      </c>
      <c r="N419" s="677">
        <v>0.33800000000000002</v>
      </c>
      <c r="P419" s="535" t="str">
        <f ca="1">IFERROR(IF(OR(M419="Y",M419="Yes"),N419*SUM('F. Provider-Level Services'!P417:P424)/'F. Provider-Level Services'!P409,E419),"")</f>
        <v/>
      </c>
      <c r="S419" s="703"/>
      <c r="T419" s="764"/>
      <c r="U419" s="764"/>
      <c r="V419" s="764"/>
    </row>
    <row r="420" spans="2:22" outlineLevel="1" x14ac:dyDescent="0.3">
      <c r="B420" s="26"/>
      <c r="C420" s="339"/>
      <c r="E420" s="242"/>
      <c r="F420" s="243"/>
      <c r="G420" s="243"/>
      <c r="H420" s="243"/>
      <c r="I420" s="243"/>
      <c r="J420" s="243" t="s">
        <v>59</v>
      </c>
      <c r="K420" s="243"/>
      <c r="L420" s="243"/>
      <c r="M420" s="243"/>
      <c r="N420" s="243"/>
      <c r="O420" s="244"/>
      <c r="P420"/>
      <c r="S420" s="759"/>
      <c r="T420" s="703"/>
      <c r="U420" s="760"/>
      <c r="V420" s="763"/>
    </row>
    <row r="421" spans="2:22" ht="15" outlineLevel="1" thickBot="1" x14ac:dyDescent="0.35">
      <c r="B421" s="26"/>
      <c r="C421" s="59" t="s">
        <v>696</v>
      </c>
      <c r="E421" s="211">
        <v>0</v>
      </c>
      <c r="F421" s="211">
        <v>1</v>
      </c>
      <c r="G421" s="211">
        <v>2</v>
      </c>
      <c r="H421" s="211">
        <v>3</v>
      </c>
      <c r="I421" s="211">
        <v>4</v>
      </c>
      <c r="J421" s="211">
        <v>5</v>
      </c>
      <c r="K421" s="211">
        <v>6</v>
      </c>
      <c r="L421" s="211">
        <v>7</v>
      </c>
      <c r="M421" s="211">
        <v>8</v>
      </c>
      <c r="N421" s="211">
        <v>9</v>
      </c>
      <c r="O421" s="211">
        <v>10</v>
      </c>
      <c r="P421"/>
      <c r="S421" s="759"/>
      <c r="T421" s="761"/>
      <c r="U421" s="761"/>
      <c r="V421" s="763"/>
    </row>
    <row r="422" spans="2:22" s="1" customFormat="1" outlineLevel="1" x14ac:dyDescent="0.3">
      <c r="B422" s="165"/>
      <c r="C422" s="11" t="s">
        <v>18</v>
      </c>
      <c r="D422" s="290"/>
      <c r="E422" s="480" t="str">
        <f ca="1">IF('F. Provider-Level Services'!E103&gt;0,'F. Provider-Level Services'!E103,"")</f>
        <v/>
      </c>
      <c r="F422" s="480" t="str">
        <f ca="1">IF('F. Provider-Level Services'!F103&gt;0,'F. Provider-Level Services'!F103,"")</f>
        <v/>
      </c>
      <c r="G422" s="480" t="str">
        <f ca="1">IF('F. Provider-Level Services'!G103&gt;0,'F. Provider-Level Services'!G103,"")</f>
        <v/>
      </c>
      <c r="H422" s="480" t="str">
        <f ca="1">IF('F. Provider-Level Services'!H103&gt;0,'F. Provider-Level Services'!H103,"")</f>
        <v/>
      </c>
      <c r="I422" s="480" t="str">
        <f ca="1">IF('F. Provider-Level Services'!I103&gt;0,'F. Provider-Level Services'!I103,"")</f>
        <v/>
      </c>
      <c r="J422" s="480" t="str">
        <f ca="1">IF('F. Provider-Level Services'!J103&gt;0,'F. Provider-Level Services'!J103,"")</f>
        <v/>
      </c>
      <c r="K422" s="480" t="str">
        <f ca="1">IF('F. Provider-Level Services'!K103&gt;0,'F. Provider-Level Services'!K103,"")</f>
        <v/>
      </c>
      <c r="L422" s="480" t="str">
        <f ca="1">IF('F. Provider-Level Services'!L103&gt;0,'F. Provider-Level Services'!L103,"")</f>
        <v/>
      </c>
      <c r="M422" s="480" t="str">
        <f ca="1">IF('F. Provider-Level Services'!M103&gt;0,'F. Provider-Level Services'!M103,"")</f>
        <v/>
      </c>
      <c r="N422" s="480" t="str">
        <f ca="1">IF('F. Provider-Level Services'!N103&gt;0,'F. Provider-Level Services'!N103,"")</f>
        <v/>
      </c>
      <c r="O422" s="499" t="str">
        <f ca="1">IF('F. Provider-Level Services'!O103&gt;0,'F. Provider-Level Services'!O103,"")</f>
        <v/>
      </c>
      <c r="P422" s="193" t="str">
        <f t="shared" ref="P422:P424" ca="1" si="49">IF(ISNA(INDEX(E422:O422,MATCH(9.99999999999999E+307,E422:O422))),"",INDEX(E422:O422,MATCH(9.99999999999999E+307,E422:O422)))</f>
        <v/>
      </c>
      <c r="S422" s="759"/>
      <c r="T422" s="762"/>
      <c r="U422" s="757"/>
      <c r="V422" s="763"/>
    </row>
    <row r="423" spans="2:22" s="1" customFormat="1" outlineLevel="1" x14ac:dyDescent="0.3">
      <c r="B423" s="165"/>
      <c r="C423" s="11" t="s">
        <v>20</v>
      </c>
      <c r="D423" s="290"/>
      <c r="E423" s="480">
        <f ca="1">IF('F. Provider-Level Services'!E267&gt;0,'F. Provider-Level Services'!E267,"")</f>
        <v>241399.66871419354</v>
      </c>
      <c r="F423" s="480">
        <f ca="1">IF('F. Provider-Level Services'!F267&gt;0,'F. Provider-Level Services'!F267,"")</f>
        <v>244445.13069991808</v>
      </c>
      <c r="G423" s="480">
        <f ca="1">IF('F. Provider-Level Services'!G267&gt;0,'F. Provider-Level Services'!G267,"")</f>
        <v>247614.51156984278</v>
      </c>
      <c r="H423" s="480">
        <f ca="1">IF('F. Provider-Level Services'!H267&gt;0,'F. Provider-Level Services'!H267,"")</f>
        <v>251112.704421284</v>
      </c>
      <c r="I423" s="480">
        <f ca="1">IF('F. Provider-Level Services'!I267&gt;0,'F. Provider-Level Services'!I267,"")</f>
        <v>254436.3246360246</v>
      </c>
      <c r="J423" s="480">
        <f ca="1">IF('F. Provider-Level Services'!J267&gt;0,'F. Provider-Level Services'!J267,"")</f>
        <v>257762.22036071069</v>
      </c>
      <c r="K423" s="480">
        <f ca="1">IF('F. Provider-Level Services'!K267&gt;0,'F. Provider-Level Services'!K267,"")</f>
        <v>261073.71537201616</v>
      </c>
      <c r="L423" s="480">
        <f ca="1">IF('F. Provider-Level Services'!L267&gt;0,'F. Provider-Level Services'!L267,"")</f>
        <v>264510.26161454146</v>
      </c>
      <c r="M423" s="480">
        <f ca="1">IF('F. Provider-Level Services'!M267&gt;0,'F. Provider-Level Services'!M267,"")</f>
        <v>268053.0238433184</v>
      </c>
      <c r="N423" s="480">
        <f ca="1">IF('F. Provider-Level Services'!N267&gt;0,'F. Provider-Level Services'!N267,"")</f>
        <v>271869.31701037625</v>
      </c>
      <c r="O423" s="480">
        <f ca="1">IF('F. Provider-Level Services'!O267&gt;0,'F. Provider-Level Services'!O267,"")</f>
        <v>275475.47511562228</v>
      </c>
      <c r="P423" s="194">
        <f t="shared" ca="1" si="49"/>
        <v>275475.47511562228</v>
      </c>
      <c r="S423" s="759"/>
      <c r="T423" s="763"/>
      <c r="U423" s="763"/>
      <c r="V423" s="758"/>
    </row>
    <row r="424" spans="2:22" s="1" customFormat="1" ht="15" outlineLevel="1" thickBot="1" x14ac:dyDescent="0.35">
      <c r="B424" s="55"/>
      <c r="C424" s="11" t="s">
        <v>19</v>
      </c>
      <c r="D424" s="290"/>
      <c r="E424" s="480" t="str">
        <f ca="1">IF('F. Provider-Level Services'!E431&gt;0,'F. Provider-Level Services'!E431,"")</f>
        <v/>
      </c>
      <c r="F424" s="480" t="str">
        <f ca="1">IF('F. Provider-Level Services'!F431&gt;0,'F. Provider-Level Services'!F431,"")</f>
        <v/>
      </c>
      <c r="G424" s="480" t="str">
        <f ca="1">IF('F. Provider-Level Services'!G431&gt;0,'F. Provider-Level Services'!G431,"")</f>
        <v/>
      </c>
      <c r="H424" s="480" t="str">
        <f ca="1">IF('F. Provider-Level Services'!H431&gt;0,'F. Provider-Level Services'!H431,"")</f>
        <v/>
      </c>
      <c r="I424" s="480" t="str">
        <f ca="1">IF('F. Provider-Level Services'!I431&gt;0,'F. Provider-Level Services'!I431,"")</f>
        <v/>
      </c>
      <c r="J424" s="480" t="str">
        <f ca="1">IF('F. Provider-Level Services'!J431&gt;0,'F. Provider-Level Services'!J431,"")</f>
        <v/>
      </c>
      <c r="K424" s="480" t="str">
        <f ca="1">IF('F. Provider-Level Services'!K431&gt;0,'F. Provider-Level Services'!K431,"")</f>
        <v/>
      </c>
      <c r="L424" s="480" t="str">
        <f ca="1">IF('F. Provider-Level Services'!L431&gt;0,'F. Provider-Level Services'!L431,"")</f>
        <v/>
      </c>
      <c r="M424" s="480" t="str">
        <f ca="1">IF('F. Provider-Level Services'!M431&gt;0,'F. Provider-Level Services'!M431,"")</f>
        <v/>
      </c>
      <c r="N424" s="480" t="str">
        <f ca="1">IF('F. Provider-Level Services'!N431&gt;0,'F. Provider-Level Services'!N431,"")</f>
        <v/>
      </c>
      <c r="O424" s="480" t="str">
        <f ca="1">IF('F. Provider-Level Services'!O431&gt;0,'F. Provider-Level Services'!O431,"")</f>
        <v/>
      </c>
      <c r="P424" s="148" t="str">
        <f t="shared" ca="1" si="49"/>
        <v/>
      </c>
    </row>
    <row r="425" spans="2:22" x14ac:dyDescent="0.3">
      <c r="B425" s="225"/>
      <c r="C425" s="225"/>
    </row>
    <row r="426" spans="2:22" ht="15.6" x14ac:dyDescent="0.3">
      <c r="B426" s="253" t="s">
        <v>325</v>
      </c>
      <c r="C426" s="254"/>
    </row>
    <row r="427" spans="2:22" ht="15" outlineLevel="1" thickBot="1" x14ac:dyDescent="0.35">
      <c r="B427" s="26"/>
      <c r="C427" s="162"/>
      <c r="E427" s="268"/>
      <c r="F427" s="243" t="s">
        <v>217</v>
      </c>
      <c r="G427" s="269"/>
    </row>
    <row r="428" spans="2:22" ht="28.8" outlineLevel="1" x14ac:dyDescent="0.3">
      <c r="B428" s="26"/>
      <c r="C428" s="7" t="s">
        <v>207</v>
      </c>
      <c r="E428" s="40" t="s">
        <v>26</v>
      </c>
      <c r="F428" s="40" t="s">
        <v>27</v>
      </c>
      <c r="G428" s="40" t="s">
        <v>28</v>
      </c>
      <c r="P428" s="574" t="s">
        <v>2</v>
      </c>
    </row>
    <row r="429" spans="2:22" outlineLevel="1" x14ac:dyDescent="0.3">
      <c r="B429" s="26"/>
      <c r="C429" s="10" t="s">
        <v>214</v>
      </c>
      <c r="E429" s="173">
        <f>M225*P43*5</f>
        <v>437.5</v>
      </c>
      <c r="F429" s="173">
        <f>N225*P44*5</f>
        <v>875</v>
      </c>
      <c r="G429" s="173">
        <f>O225*P45*5</f>
        <v>1950</v>
      </c>
      <c r="P429" s="533">
        <f ca="1">IF(K442="No",(E429*'D. Annual Schedule Tables'!P21+F429*'D. Annual Schedule Tables'!P22+G429*'D. Annual Schedule Tables'!P23)/'D. Annual Schedule Tables'!P20,"")</f>
        <v>449.27536231884056</v>
      </c>
      <c r="Q429" s="755"/>
    </row>
    <row r="430" spans="2:22" outlineLevel="1" x14ac:dyDescent="0.3">
      <c r="B430" s="26"/>
      <c r="C430" s="10" t="s">
        <v>215</v>
      </c>
      <c r="E430" s="173">
        <f>M226*P43*5</f>
        <v>22.75</v>
      </c>
      <c r="F430" s="173">
        <f>N226*P44*5</f>
        <v>45.5</v>
      </c>
      <c r="G430" s="173">
        <f>O226*P45*5</f>
        <v>101.4</v>
      </c>
      <c r="P430" s="533">
        <f ca="1">IF(K442="No",(E430*'D. Annual Schedule Tables'!P21+F430*'D. Annual Schedule Tables'!P22+G430*'D. Annual Schedule Tables'!P23)/'D. Annual Schedule Tables'!P20,"")</f>
        <v>23.362318840579711</v>
      </c>
    </row>
    <row r="431" spans="2:22" outlineLevel="1" x14ac:dyDescent="0.3">
      <c r="B431" s="26"/>
      <c r="C431" s="10" t="s">
        <v>195</v>
      </c>
      <c r="D431" s="280" t="b">
        <f>IF(F431&gt;=0,TRUE,FALSE)</f>
        <v>1</v>
      </c>
      <c r="E431" s="173">
        <f>0.5*F431</f>
        <v>25</v>
      </c>
      <c r="F431" s="12">
        <v>50</v>
      </c>
      <c r="G431" s="173">
        <f>1.5*F431</f>
        <v>75</v>
      </c>
      <c r="P431" s="533">
        <f ca="1">IF(K442="No",(E431*'D. Annual Schedule Tables'!P21+F431*'D. Annual Schedule Tables'!P22+G431*'D. Annual Schedule Tables'!P23)/'D. Annual Schedule Tables'!P20,"")</f>
        <v>25.67287784679089</v>
      </c>
    </row>
    <row r="432" spans="2:22" outlineLevel="1" x14ac:dyDescent="0.3">
      <c r="B432" s="26"/>
      <c r="C432" s="10" t="s">
        <v>196</v>
      </c>
      <c r="D432" s="280" t="b">
        <f t="shared" ref="D432:D441" si="50">IF(F432&gt;=0,TRUE,FALSE)</f>
        <v>1</v>
      </c>
      <c r="E432" s="173">
        <f t="shared" ref="E432:E439" si="51">0.5*F432</f>
        <v>50</v>
      </c>
      <c r="F432" s="12">
        <v>100</v>
      </c>
      <c r="G432" s="173">
        <f t="shared" ref="G432:G439" si="52">1.5*F432</f>
        <v>150</v>
      </c>
      <c r="P432" s="533">
        <f ca="1">IF(K442="No",(E432*'D. Annual Schedule Tables'!P21+F432*'D. Annual Schedule Tables'!P22+G432*'D. Annual Schedule Tables'!P23)/'D. Annual Schedule Tables'!P20,"")</f>
        <v>51.345755693581779</v>
      </c>
    </row>
    <row r="433" spans="2:16" outlineLevel="1" x14ac:dyDescent="0.3">
      <c r="B433" s="26"/>
      <c r="C433" s="10" t="s">
        <v>208</v>
      </c>
      <c r="D433" s="280" t="b">
        <f t="shared" si="50"/>
        <v>1</v>
      </c>
      <c r="E433" s="173">
        <f t="shared" si="51"/>
        <v>20</v>
      </c>
      <c r="F433" s="12">
        <v>40</v>
      </c>
      <c r="G433" s="173">
        <f t="shared" si="52"/>
        <v>60</v>
      </c>
      <c r="P433" s="533">
        <f ca="1">IF(K442="No",(E433*'D. Annual Schedule Tables'!P21+F433*'D. Annual Schedule Tables'!P22+G433*'D. Annual Schedule Tables'!P23)/'D. Annual Schedule Tables'!P20,"")</f>
        <v>20.538302277432713</v>
      </c>
    </row>
    <row r="434" spans="2:16" outlineLevel="1" x14ac:dyDescent="0.3">
      <c r="B434" s="26"/>
      <c r="C434" s="10" t="s">
        <v>204</v>
      </c>
      <c r="D434" s="280" t="b">
        <f t="shared" si="50"/>
        <v>1</v>
      </c>
      <c r="E434" s="173">
        <f t="shared" si="51"/>
        <v>12.5</v>
      </c>
      <c r="F434" s="12">
        <v>25</v>
      </c>
      <c r="G434" s="173">
        <f t="shared" si="52"/>
        <v>37.5</v>
      </c>
      <c r="I434" t="s">
        <v>361</v>
      </c>
      <c r="P434" s="533">
        <f ca="1">IF(K442="No",(E434*'D. Annual Schedule Tables'!P21+F434*'D. Annual Schedule Tables'!P22+G434*'D. Annual Schedule Tables'!P23)/'D. Annual Schedule Tables'!P20,"")</f>
        <v>12.836438923395445</v>
      </c>
    </row>
    <row r="435" spans="2:16" outlineLevel="1" x14ac:dyDescent="0.3">
      <c r="B435" s="26"/>
      <c r="C435" s="10" t="s">
        <v>206</v>
      </c>
      <c r="D435" s="280" t="b">
        <f t="shared" si="50"/>
        <v>1</v>
      </c>
      <c r="E435" s="173">
        <f t="shared" si="51"/>
        <v>37.5</v>
      </c>
      <c r="F435" s="12">
        <v>75</v>
      </c>
      <c r="G435" s="173">
        <f t="shared" si="52"/>
        <v>112.5</v>
      </c>
      <c r="P435" s="533">
        <f ca="1">IF(K442="No",(E435*'D. Annual Schedule Tables'!P21+F435*'D. Annual Schedule Tables'!P22+G435*'D. Annual Schedule Tables'!P23)/'D. Annual Schedule Tables'!P20,"")</f>
        <v>38.509316770186338</v>
      </c>
    </row>
    <row r="436" spans="2:16" outlineLevel="1" x14ac:dyDescent="0.3">
      <c r="B436" s="26"/>
      <c r="C436" s="10" t="s">
        <v>197</v>
      </c>
      <c r="D436" s="280" t="b">
        <f t="shared" si="50"/>
        <v>1</v>
      </c>
      <c r="E436" s="173">
        <f t="shared" si="51"/>
        <v>7.5</v>
      </c>
      <c r="F436" s="12">
        <v>15</v>
      </c>
      <c r="G436" s="173">
        <f t="shared" si="52"/>
        <v>22.5</v>
      </c>
      <c r="P436" s="533">
        <f ca="1">IF(K442="No",(E436*'D. Annual Schedule Tables'!P21+F436*'D. Annual Schedule Tables'!P22+G436*'D. Annual Schedule Tables'!P23)/'D. Annual Schedule Tables'!P20,"")</f>
        <v>7.7018633540372674</v>
      </c>
    </row>
    <row r="437" spans="2:16" outlineLevel="1" x14ac:dyDescent="0.3">
      <c r="B437" s="26"/>
      <c r="C437" s="10" t="s">
        <v>198</v>
      </c>
      <c r="D437" s="280" t="b">
        <f t="shared" si="50"/>
        <v>1</v>
      </c>
      <c r="E437" s="173">
        <f t="shared" si="51"/>
        <v>12</v>
      </c>
      <c r="F437" s="12">
        <v>24</v>
      </c>
      <c r="G437" s="173">
        <f t="shared" si="52"/>
        <v>36</v>
      </c>
      <c r="P437" s="533">
        <f ca="1">IF(K442="No",(E437*'D. Annual Schedule Tables'!P21+F437*'D. Annual Schedule Tables'!P22+G437*'D. Annual Schedule Tables'!P23)/'D. Annual Schedule Tables'!P20,"")</f>
        <v>12.322981366459627</v>
      </c>
    </row>
    <row r="438" spans="2:16" outlineLevel="1" x14ac:dyDescent="0.3">
      <c r="B438" s="26"/>
      <c r="C438" s="10" t="s">
        <v>199</v>
      </c>
      <c r="D438" s="280" t="b">
        <f t="shared" si="50"/>
        <v>1</v>
      </c>
      <c r="E438" s="173">
        <f t="shared" si="51"/>
        <v>12.5</v>
      </c>
      <c r="F438" s="12">
        <v>25</v>
      </c>
      <c r="G438" s="173">
        <f t="shared" si="52"/>
        <v>37.5</v>
      </c>
      <c r="P438" s="533">
        <f ca="1">IF(K442="No",(E438*'D. Annual Schedule Tables'!P21+F438*'D. Annual Schedule Tables'!P22+G438*'D. Annual Schedule Tables'!P23)/'D. Annual Schedule Tables'!P20,"")</f>
        <v>12.836438923395445</v>
      </c>
    </row>
    <row r="439" spans="2:16" outlineLevel="1" x14ac:dyDescent="0.3">
      <c r="B439" s="26"/>
      <c r="C439" s="10" t="s">
        <v>216</v>
      </c>
      <c r="D439" s="280" t="b">
        <f t="shared" si="50"/>
        <v>1</v>
      </c>
      <c r="E439" s="173">
        <f t="shared" si="51"/>
        <v>12.5</v>
      </c>
      <c r="F439" s="12">
        <v>25</v>
      </c>
      <c r="G439" s="173">
        <f t="shared" si="52"/>
        <v>37.5</v>
      </c>
      <c r="P439" s="533">
        <f ca="1">IF(K442="No",(E439*'D. Annual Schedule Tables'!P21+F439*'D. Annual Schedule Tables'!P22+G439*'D. Annual Schedule Tables'!P23)/'D. Annual Schedule Tables'!P20,"")</f>
        <v>12.836438923395445</v>
      </c>
    </row>
    <row r="440" spans="2:16" outlineLevel="1" x14ac:dyDescent="0.3">
      <c r="B440" s="26"/>
      <c r="C440" s="10" t="s">
        <v>397</v>
      </c>
      <c r="D440" s="280" t="b">
        <f t="shared" si="50"/>
        <v>1</v>
      </c>
      <c r="E440" s="173">
        <f>F440</f>
        <v>1250</v>
      </c>
      <c r="F440" s="12">
        <v>1250</v>
      </c>
      <c r="G440" s="173">
        <f>F440</f>
        <v>1250</v>
      </c>
      <c r="P440" s="533">
        <f ca="1">IF(K442="No",(E440*'D. Annual Schedule Tables'!P21+F440*'D. Annual Schedule Tables'!P22+G440*'D. Annual Schedule Tables'!P23)/'D. Annual Schedule Tables'!P20,"")</f>
        <v>1250</v>
      </c>
    </row>
    <row r="441" spans="2:16" outlineLevel="1" x14ac:dyDescent="0.3">
      <c r="B441" s="26"/>
      <c r="C441" s="10" t="s">
        <v>821</v>
      </c>
      <c r="D441" s="280" t="b">
        <f t="shared" si="50"/>
        <v>1</v>
      </c>
      <c r="E441" s="173">
        <f>F441</f>
        <v>0</v>
      </c>
      <c r="F441" s="12">
        <v>0</v>
      </c>
      <c r="G441" s="173">
        <f>F441</f>
        <v>0</v>
      </c>
      <c r="L441" s="4" t="s">
        <v>392</v>
      </c>
      <c r="M441" s="4" t="s">
        <v>393</v>
      </c>
      <c r="N441" s="4" t="s">
        <v>394</v>
      </c>
      <c r="P441" s="533">
        <f ca="1">IF(K442="No",(E441*'D. Annual Schedule Tables'!P21+F441*'D. Annual Schedule Tables'!P22+G441*'D. Annual Schedule Tables'!P23)/'D. Annual Schedule Tables'!P20,"")</f>
        <v>0</v>
      </c>
    </row>
    <row r="442" spans="2:16" ht="15" outlineLevel="1" thickBot="1" x14ac:dyDescent="0.35">
      <c r="B442" s="26"/>
      <c r="C442" s="50" t="s">
        <v>391</v>
      </c>
      <c r="D442" s="280" t="b">
        <f>IF(AND(K442="Yes",COUNTIF(L442:N442,"&lt;0")&gt;0),FALSE,TRUE)</f>
        <v>1</v>
      </c>
      <c r="E442" s="228">
        <f>SUM(E429:E441)</f>
        <v>1899.75</v>
      </c>
      <c r="F442" s="228">
        <f>SUM(F429:F441)</f>
        <v>2549.5</v>
      </c>
      <c r="G442" s="228">
        <f>SUM(G429:G441)</f>
        <v>3869.9</v>
      </c>
      <c r="J442" s="308" t="s">
        <v>360</v>
      </c>
      <c r="K442" s="307" t="s">
        <v>686</v>
      </c>
      <c r="L442" s="173">
        <f>0.5*M442</f>
        <v>875</v>
      </c>
      <c r="M442" s="12">
        <v>1750</v>
      </c>
      <c r="N442" s="173">
        <f>1.5*M442</f>
        <v>2625</v>
      </c>
      <c r="P442" s="579">
        <f ca="1">IF(OR(K442="Yes",K442="Y"),(L442*'D. Annual Schedule Tables'!P21+M442*'D. Annual Schedule Tables'!P22+N442*'D. Annual Schedule Tables'!P23)/'D. Annual Schedule Tables'!P20,(E442*'D. Annual Schedule Tables'!P21+F442*'D. Annual Schedule Tables'!P22+G442*'D. Annual Schedule Tables'!P23)/'D. Annual Schedule Tables'!P20)</f>
        <v>1917.2380952380952</v>
      </c>
    </row>
    <row r="443" spans="2:16" ht="15" outlineLevel="1" thickBot="1" x14ac:dyDescent="0.35">
      <c r="B443" s="26"/>
      <c r="C443" s="7" t="s">
        <v>212</v>
      </c>
      <c r="E443" s="252" t="s">
        <v>57</v>
      </c>
    </row>
    <row r="444" spans="2:16" outlineLevel="1" x14ac:dyDescent="0.3">
      <c r="B444" s="26"/>
      <c r="C444" s="14" t="s">
        <v>720</v>
      </c>
      <c r="D444" s="280" t="b">
        <f>IF(E444&gt;=0,TRUE,FALSE)</f>
        <v>1</v>
      </c>
      <c r="E444" s="172">
        <v>1100</v>
      </c>
      <c r="P444" s="491">
        <f>E444</f>
        <v>1100</v>
      </c>
    </row>
    <row r="445" spans="2:16" ht="15" outlineLevel="1" thickBot="1" x14ac:dyDescent="0.35">
      <c r="B445" s="26"/>
      <c r="C445" s="198" t="s">
        <v>396</v>
      </c>
      <c r="E445" s="200">
        <f>E444/E85</f>
        <v>68.75</v>
      </c>
      <c r="P445" s="492">
        <f>E445</f>
        <v>68.75</v>
      </c>
    </row>
    <row r="446" spans="2:16" ht="15" outlineLevel="1" thickBot="1" x14ac:dyDescent="0.35">
      <c r="B446" s="26"/>
      <c r="C446" s="14" t="s">
        <v>211</v>
      </c>
      <c r="E446" s="252" t="s">
        <v>57</v>
      </c>
    </row>
    <row r="447" spans="2:16" outlineLevel="1" x14ac:dyDescent="0.3">
      <c r="B447" s="26"/>
      <c r="C447" s="198" t="s">
        <v>200</v>
      </c>
      <c r="D447" s="280" t="b">
        <f>IF(E447&gt;=0,TRUE,FALSE)</f>
        <v>1</v>
      </c>
      <c r="E447" s="199">
        <v>16</v>
      </c>
      <c r="P447" s="494" t="str">
        <f>IF(K452="No",E447,"")</f>
        <v/>
      </c>
    </row>
    <row r="448" spans="2:16" outlineLevel="1" x14ac:dyDescent="0.3">
      <c r="B448" s="26"/>
      <c r="C448" s="198" t="s">
        <v>201</v>
      </c>
      <c r="D448" s="280" t="b">
        <f>IF(E448&gt;=0,TRUE,FALSE)</f>
        <v>1</v>
      </c>
      <c r="E448" s="199">
        <v>2</v>
      </c>
      <c r="P448" s="493" t="str">
        <f>IF(K452="No",E448,"")</f>
        <v/>
      </c>
    </row>
    <row r="449" spans="2:17" outlineLevel="1" x14ac:dyDescent="0.3">
      <c r="B449" s="26"/>
      <c r="C449" s="198" t="s">
        <v>202</v>
      </c>
      <c r="D449" s="280" t="b">
        <f>IF(E449&gt;=0,TRUE,FALSE)</f>
        <v>1</v>
      </c>
      <c r="E449" s="199">
        <v>1</v>
      </c>
      <c r="P449" s="493" t="str">
        <f>IF(K452="No",E449,"")</f>
        <v/>
      </c>
    </row>
    <row r="450" spans="2:17" outlineLevel="1" x14ac:dyDescent="0.3">
      <c r="B450" s="26"/>
      <c r="C450" s="198" t="s">
        <v>203</v>
      </c>
      <c r="D450" s="280" t="b">
        <f>IF(E450&gt;=0,TRUE,FALSE)</f>
        <v>1</v>
      </c>
      <c r="E450" s="199">
        <v>2</v>
      </c>
      <c r="L450" s="747" t="s">
        <v>1077</v>
      </c>
      <c r="M450" s="747"/>
      <c r="N450" s="747"/>
      <c r="P450" s="493" t="str">
        <f>IF(K452="No",E450,"")</f>
        <v/>
      </c>
    </row>
    <row r="451" spans="2:17" outlineLevel="1" x14ac:dyDescent="0.3">
      <c r="B451" s="26"/>
      <c r="C451" s="198" t="s">
        <v>822</v>
      </c>
      <c r="D451" s="280" t="b">
        <f>IF(E451&gt;=0,TRUE,FALSE)</f>
        <v>1</v>
      </c>
      <c r="E451" s="199">
        <v>0</v>
      </c>
      <c r="L451" s="747" t="s">
        <v>1076</v>
      </c>
      <c r="M451" s="747" t="s">
        <v>20</v>
      </c>
      <c r="N451" s="747" t="s">
        <v>19</v>
      </c>
      <c r="P451" s="493" t="str">
        <f>IF(K452="No",E451,"")</f>
        <v/>
      </c>
    </row>
    <row r="452" spans="2:17" ht="15" outlineLevel="1" thickBot="1" x14ac:dyDescent="0.35">
      <c r="B452" s="26"/>
      <c r="C452" s="50" t="s">
        <v>823</v>
      </c>
      <c r="D452" s="280" t="b">
        <f>IF(AND(K452="Yes",COUNTIF(L452:N452,"&lt;0")&gt;0),FALSE,TRUE)</f>
        <v>1</v>
      </c>
      <c r="E452" s="173">
        <f>E444*SUM(E447:E451)</f>
        <v>23100</v>
      </c>
      <c r="J452" s="308" t="s">
        <v>360</v>
      </c>
      <c r="K452" s="307" t="s">
        <v>359</v>
      </c>
      <c r="L452" s="12">
        <v>24000</v>
      </c>
      <c r="M452" s="12">
        <v>5500</v>
      </c>
      <c r="N452" s="12">
        <v>24000</v>
      </c>
      <c r="P452" s="230">
        <f ca="1">IF(OR(K452="Yes",K452="Y"),(L452*'D. Annual Schedule Tables'!P80+M452*'D. Annual Schedule Tables'!P84+N452*'D. Annual Schedule Tables'!P88)/'D. Annual Schedule Tables'!P89,E452)</f>
        <v>5500</v>
      </c>
      <c r="Q452" s="754"/>
    </row>
    <row r="453" spans="2:17" ht="15" outlineLevel="1" thickBot="1" x14ac:dyDescent="0.35">
      <c r="B453" s="26"/>
      <c r="C453" s="7" t="s">
        <v>721</v>
      </c>
      <c r="E453" s="252" t="s">
        <v>57</v>
      </c>
    </row>
    <row r="454" spans="2:17" outlineLevel="1" x14ac:dyDescent="0.3">
      <c r="B454" s="26"/>
      <c r="C454" s="10" t="s">
        <v>205</v>
      </c>
      <c r="D454" s="280" t="b">
        <f>IF(E454&gt;=0,TRUE,FALSE)</f>
        <v>1</v>
      </c>
      <c r="E454" s="201">
        <v>2400</v>
      </c>
      <c r="P454" s="496" t="str">
        <f>IF(K458="No",E454,"")</f>
        <v/>
      </c>
    </row>
    <row r="455" spans="2:17" outlineLevel="1" x14ac:dyDescent="0.3">
      <c r="B455" s="26"/>
      <c r="C455" s="10" t="s">
        <v>209</v>
      </c>
      <c r="D455" s="280" t="b">
        <f>IF(E455&gt;=0,TRUE,FALSE)</f>
        <v>1</v>
      </c>
      <c r="E455" s="201">
        <v>3000</v>
      </c>
      <c r="P455" s="495" t="str">
        <f>IF(K458="No",E455,"")</f>
        <v/>
      </c>
    </row>
    <row r="456" spans="2:17" outlineLevel="1" x14ac:dyDescent="0.3">
      <c r="B456" s="26"/>
      <c r="C456" s="10" t="s">
        <v>210</v>
      </c>
      <c r="D456" s="280" t="b">
        <f>IF(E456&gt;=0,TRUE,FALSE)</f>
        <v>1</v>
      </c>
      <c r="E456" s="201">
        <v>135</v>
      </c>
      <c r="L456" s="747" t="s">
        <v>1077</v>
      </c>
      <c r="M456" s="747"/>
      <c r="N456" s="747"/>
      <c r="P456" s="495" t="str">
        <f>IF(K458="No",E456,"")</f>
        <v/>
      </c>
    </row>
    <row r="457" spans="2:17" outlineLevel="1" x14ac:dyDescent="0.3">
      <c r="B457" s="26"/>
      <c r="C457" s="10" t="s">
        <v>829</v>
      </c>
      <c r="D457" s="280" t="b">
        <f>IF(E457&gt;=0,TRUE,FALSE)</f>
        <v>1</v>
      </c>
      <c r="E457" s="201">
        <v>0</v>
      </c>
      <c r="L457" s="747" t="s">
        <v>1076</v>
      </c>
      <c r="M457" s="747" t="s">
        <v>20</v>
      </c>
      <c r="N457" s="747" t="s">
        <v>19</v>
      </c>
      <c r="P457" s="495" t="str">
        <f>IF(K458="No",E457,"")</f>
        <v/>
      </c>
    </row>
    <row r="458" spans="2:17" ht="15" outlineLevel="1" thickBot="1" x14ac:dyDescent="0.35">
      <c r="B458" s="27"/>
      <c r="C458" s="50" t="s">
        <v>825</v>
      </c>
      <c r="D458" s="280" t="b">
        <f>IF(AND(K458="Yes",COUNTIF(L458:N458,"&lt;0")&gt;0),FALSE,TRUE)</f>
        <v>1</v>
      </c>
      <c r="E458" s="173">
        <f>SUM(E454:E457)</f>
        <v>5535</v>
      </c>
      <c r="J458" s="308" t="s">
        <v>360</v>
      </c>
      <c r="K458" s="307" t="s">
        <v>359</v>
      </c>
      <c r="L458" s="12">
        <v>5000</v>
      </c>
      <c r="M458" s="12">
        <v>5000</v>
      </c>
      <c r="N458" s="12">
        <v>5000</v>
      </c>
      <c r="P458" s="713">
        <f ca="1">IF(OR(K458="Yes",K458="Y"),(L458*'D. Annual Schedule Tables'!P134+M458*'D. Annual Schedule Tables'!P135+N458*'D. Annual Schedule Tables'!P136)/'D. Annual Schedule Tables'!P137,E458)</f>
        <v>5000</v>
      </c>
    </row>
    <row r="459" spans="2:17" x14ac:dyDescent="0.3">
      <c r="B459" s="19"/>
      <c r="C459" s="19"/>
    </row>
    <row r="460" spans="2:17" ht="15.6" x14ac:dyDescent="0.3">
      <c r="B460" s="253" t="s">
        <v>326</v>
      </c>
      <c r="C460" s="254"/>
    </row>
    <row r="461" spans="2:17" ht="15" outlineLevel="1" thickBot="1" x14ac:dyDescent="0.35">
      <c r="B461" s="26"/>
      <c r="C461" s="143"/>
      <c r="E461" s="266" t="s">
        <v>57</v>
      </c>
      <c r="F461" s="267"/>
      <c r="P461" s="341"/>
    </row>
    <row r="462" spans="2:17" ht="28.8" outlineLevel="1" x14ac:dyDescent="0.3">
      <c r="B462" s="26"/>
      <c r="C462" s="7" t="s">
        <v>398</v>
      </c>
      <c r="E462" s="40" t="s">
        <v>218</v>
      </c>
      <c r="F462" s="40" t="s">
        <v>219</v>
      </c>
      <c r="P462" s="323" t="s">
        <v>2</v>
      </c>
    </row>
    <row r="463" spans="2:17" outlineLevel="1" x14ac:dyDescent="0.3">
      <c r="B463" s="26"/>
      <c r="C463" s="10" t="s">
        <v>18</v>
      </c>
      <c r="E463" s="173">
        <f>E239</f>
        <v>0</v>
      </c>
      <c r="F463" s="200">
        <f>E85</f>
        <v>16</v>
      </c>
      <c r="P463" s="203">
        <f>E463*F463</f>
        <v>0</v>
      </c>
    </row>
    <row r="464" spans="2:17" outlineLevel="1" x14ac:dyDescent="0.3">
      <c r="B464" s="26"/>
      <c r="C464" s="10" t="s">
        <v>20</v>
      </c>
      <c r="E464" s="173">
        <f>F239</f>
        <v>30</v>
      </c>
      <c r="F464" s="200">
        <f>E85</f>
        <v>16</v>
      </c>
      <c r="P464" s="203">
        <f>E464*F464</f>
        <v>480</v>
      </c>
    </row>
    <row r="465" spans="2:16" outlineLevel="1" x14ac:dyDescent="0.3">
      <c r="B465" s="26"/>
      <c r="C465" s="10" t="s">
        <v>19</v>
      </c>
      <c r="E465" s="173">
        <f>G239</f>
        <v>0</v>
      </c>
      <c r="F465" s="200">
        <f>E85</f>
        <v>16</v>
      </c>
      <c r="P465" s="203">
        <f>E465*F465</f>
        <v>0</v>
      </c>
    </row>
    <row r="466" spans="2:16" ht="15" outlineLevel="1" thickBot="1" x14ac:dyDescent="0.35">
      <c r="B466" s="26"/>
      <c r="C466" s="7" t="s">
        <v>395</v>
      </c>
      <c r="D466" s="280" t="b">
        <f t="shared" ref="D466" si="53">IF(AND(E466&gt;=0,F466&gt;=0),TRUE,FALSE)</f>
        <v>1</v>
      </c>
      <c r="E466" s="12">
        <v>16</v>
      </c>
      <c r="F466" s="200">
        <f>E85</f>
        <v>16</v>
      </c>
      <c r="G466" s="765" t="s">
        <v>1107</v>
      </c>
      <c r="P466" s="204">
        <f>E466*F466</f>
        <v>256</v>
      </c>
    </row>
    <row r="467" spans="2:16" outlineLevel="1" x14ac:dyDescent="0.3">
      <c r="B467" s="26"/>
      <c r="C467" s="7" t="s">
        <v>245</v>
      </c>
    </row>
    <row r="468" spans="2:16" ht="15" outlineLevel="1" thickBot="1" x14ac:dyDescent="0.35">
      <c r="B468" s="26"/>
      <c r="C468" s="10" t="s">
        <v>246</v>
      </c>
    </row>
    <row r="469" spans="2:16" outlineLevel="1" x14ac:dyDescent="0.3">
      <c r="B469" s="26"/>
      <c r="C469" s="197" t="s">
        <v>223</v>
      </c>
      <c r="D469" s="280" t="b">
        <f t="shared" ref="D469:D485" si="54">IF(AND(E469&gt;=0,F469&gt;=0),TRUE,FALSE)</f>
        <v>1</v>
      </c>
      <c r="E469" s="12">
        <v>799</v>
      </c>
      <c r="F469" s="172">
        <v>1</v>
      </c>
      <c r="P469" s="206">
        <f>IF(K488="No",E469*F469,"")</f>
        <v>799</v>
      </c>
    </row>
    <row r="470" spans="2:16" outlineLevel="1" x14ac:dyDescent="0.3">
      <c r="B470" s="26"/>
      <c r="C470" s="197" t="s">
        <v>220</v>
      </c>
      <c r="D470" s="280" t="b">
        <f t="shared" si="54"/>
        <v>1</v>
      </c>
      <c r="E470" s="12">
        <v>60</v>
      </c>
      <c r="F470" s="200">
        <f>E85</f>
        <v>16</v>
      </c>
      <c r="P470" s="203">
        <f>IF(K488="No",E470*F470,"")</f>
        <v>960</v>
      </c>
    </row>
    <row r="471" spans="2:16" outlineLevel="1" x14ac:dyDescent="0.3">
      <c r="B471" s="26"/>
      <c r="C471" s="197" t="s">
        <v>221</v>
      </c>
      <c r="D471" s="280" t="b">
        <f t="shared" si="54"/>
        <v>1</v>
      </c>
      <c r="E471" s="12">
        <v>0</v>
      </c>
      <c r="F471" s="172">
        <v>0</v>
      </c>
      <c r="P471" s="203">
        <f>IF(K488="No",E471*F471,"")</f>
        <v>0</v>
      </c>
    </row>
    <row r="472" spans="2:16" outlineLevel="1" x14ac:dyDescent="0.3">
      <c r="B472" s="26"/>
      <c r="C472" s="197" t="s">
        <v>222</v>
      </c>
      <c r="D472" s="280" t="b">
        <f t="shared" si="54"/>
        <v>1</v>
      </c>
      <c r="E472" s="12">
        <v>500</v>
      </c>
      <c r="F472" s="172">
        <v>1</v>
      </c>
      <c r="P472" s="203">
        <f>IF(K488="No",E472*F472,"")</f>
        <v>500</v>
      </c>
    </row>
    <row r="473" spans="2:16" outlineLevel="1" x14ac:dyDescent="0.3">
      <c r="B473" s="26"/>
      <c r="C473" s="197" t="s">
        <v>224</v>
      </c>
      <c r="D473" s="280" t="b">
        <f t="shared" si="54"/>
        <v>1</v>
      </c>
      <c r="E473" s="12">
        <v>499</v>
      </c>
      <c r="F473" s="172">
        <v>3</v>
      </c>
      <c r="P473" s="203">
        <f>IF(K488="No",E473*F473,"")</f>
        <v>1497</v>
      </c>
    </row>
    <row r="474" spans="2:16" outlineLevel="1" x14ac:dyDescent="0.3">
      <c r="B474" s="26"/>
      <c r="C474" s="197" t="s">
        <v>225</v>
      </c>
      <c r="D474" s="280" t="b">
        <f t="shared" si="54"/>
        <v>1</v>
      </c>
      <c r="E474" s="12">
        <v>10</v>
      </c>
      <c r="F474" s="172">
        <v>20</v>
      </c>
      <c r="P474" s="203">
        <f>IF(K488="No",E474*F474,"")</f>
        <v>200</v>
      </c>
    </row>
    <row r="475" spans="2:16" outlineLevel="1" x14ac:dyDescent="0.3">
      <c r="B475" s="26"/>
      <c r="C475" s="197" t="s">
        <v>226</v>
      </c>
      <c r="D475" s="280" t="b">
        <f t="shared" si="54"/>
        <v>1</v>
      </c>
      <c r="E475" s="12">
        <v>25</v>
      </c>
      <c r="F475" s="172">
        <v>6</v>
      </c>
      <c r="P475" s="203">
        <f>IF(K488="No",E475*F475,"")</f>
        <v>150</v>
      </c>
    </row>
    <row r="476" spans="2:16" outlineLevel="1" x14ac:dyDescent="0.3">
      <c r="B476" s="26"/>
      <c r="C476" s="197" t="s">
        <v>227</v>
      </c>
      <c r="D476" s="280" t="b">
        <f t="shared" si="54"/>
        <v>1</v>
      </c>
      <c r="E476" s="12">
        <v>35</v>
      </c>
      <c r="F476" s="172">
        <v>16</v>
      </c>
      <c r="P476" s="203">
        <f>IF(K488="No",E476*F476,"")</f>
        <v>560</v>
      </c>
    </row>
    <row r="477" spans="2:16" outlineLevel="1" x14ac:dyDescent="0.3">
      <c r="B477" s="26"/>
      <c r="C477" s="197" t="s">
        <v>228</v>
      </c>
      <c r="D477" s="280" t="b">
        <f t="shared" si="54"/>
        <v>1</v>
      </c>
      <c r="E477" s="12">
        <v>50</v>
      </c>
      <c r="F477" s="172">
        <v>7</v>
      </c>
      <c r="P477" s="203">
        <f>IF(K488="No",E477*F477,"")</f>
        <v>350</v>
      </c>
    </row>
    <row r="478" spans="2:16" outlineLevel="1" x14ac:dyDescent="0.3">
      <c r="B478" s="26"/>
      <c r="C478" s="197" t="s">
        <v>229</v>
      </c>
      <c r="D478" s="280" t="b">
        <f t="shared" si="54"/>
        <v>1</v>
      </c>
      <c r="E478" s="12">
        <v>100</v>
      </c>
      <c r="F478" s="172">
        <v>3</v>
      </c>
      <c r="P478" s="203">
        <f>IF(K488="No",E478*F478,"")</f>
        <v>300</v>
      </c>
    </row>
    <row r="479" spans="2:16" outlineLevel="1" x14ac:dyDescent="0.3">
      <c r="B479" s="26"/>
      <c r="C479" s="197" t="s">
        <v>231</v>
      </c>
      <c r="D479" s="280" t="b">
        <f t="shared" si="54"/>
        <v>1</v>
      </c>
      <c r="E479" s="12">
        <v>269</v>
      </c>
      <c r="F479" s="172">
        <v>6</v>
      </c>
      <c r="P479" s="203">
        <f>IF(K488="No",E479*F479,"")</f>
        <v>1614</v>
      </c>
    </row>
    <row r="480" spans="2:16" outlineLevel="1" x14ac:dyDescent="0.3">
      <c r="B480" s="26"/>
      <c r="C480" s="197" t="s">
        <v>230</v>
      </c>
      <c r="D480" s="280" t="b">
        <f t="shared" si="54"/>
        <v>1</v>
      </c>
      <c r="E480" s="12">
        <v>50</v>
      </c>
      <c r="F480" s="172">
        <v>2</v>
      </c>
      <c r="P480" s="203">
        <f>IF(K488="No",E480*F480,"")</f>
        <v>100</v>
      </c>
    </row>
    <row r="481" spans="2:16" outlineLevel="1" x14ac:dyDescent="0.3">
      <c r="B481" s="26"/>
      <c r="C481" s="197" t="s">
        <v>232</v>
      </c>
      <c r="D481" s="280" t="b">
        <f t="shared" si="54"/>
        <v>1</v>
      </c>
      <c r="E481" s="12">
        <v>179</v>
      </c>
      <c r="F481" s="172">
        <v>2</v>
      </c>
      <c r="P481" s="203">
        <f>IF(K488="No",E481*F481,"")</f>
        <v>358</v>
      </c>
    </row>
    <row r="482" spans="2:16" outlineLevel="1" x14ac:dyDescent="0.3">
      <c r="B482" s="26"/>
      <c r="C482" s="197" t="s">
        <v>233</v>
      </c>
      <c r="D482" s="280" t="b">
        <f t="shared" si="54"/>
        <v>1</v>
      </c>
      <c r="E482" s="12">
        <v>40</v>
      </c>
      <c r="F482" s="200">
        <f>E85</f>
        <v>16</v>
      </c>
      <c r="P482" s="203">
        <f>IF(K488="No",E482*F482,"")</f>
        <v>640</v>
      </c>
    </row>
    <row r="483" spans="2:16" outlineLevel="1" x14ac:dyDescent="0.3">
      <c r="B483" s="26"/>
      <c r="C483" s="197" t="s">
        <v>234</v>
      </c>
      <c r="D483" s="280" t="b">
        <f t="shared" si="54"/>
        <v>1</v>
      </c>
      <c r="E483" s="12">
        <v>50</v>
      </c>
      <c r="F483" s="172">
        <v>6</v>
      </c>
      <c r="P483" s="203">
        <f>IF(K488="No",E483*F483,"")</f>
        <v>300</v>
      </c>
    </row>
    <row r="484" spans="2:16" outlineLevel="1" x14ac:dyDescent="0.3">
      <c r="B484" s="26"/>
      <c r="C484" s="197" t="s">
        <v>235</v>
      </c>
      <c r="D484" s="280" t="b">
        <f t="shared" si="54"/>
        <v>1</v>
      </c>
      <c r="E484" s="12">
        <v>25</v>
      </c>
      <c r="F484" s="172">
        <v>6</v>
      </c>
      <c r="P484" s="203">
        <f>IF(K488="No",E484*F484,"")</f>
        <v>150</v>
      </c>
    </row>
    <row r="485" spans="2:16" outlineLevel="1" x14ac:dyDescent="0.3">
      <c r="B485" s="26"/>
      <c r="C485" s="197" t="s">
        <v>236</v>
      </c>
      <c r="D485" s="280" t="b">
        <f t="shared" si="54"/>
        <v>1</v>
      </c>
      <c r="E485" s="12">
        <v>30</v>
      </c>
      <c r="F485" s="172">
        <v>5</v>
      </c>
      <c r="P485" s="203">
        <f>IF(K488="No",E485*F485,"")</f>
        <v>150</v>
      </c>
    </row>
    <row r="486" spans="2:16" outlineLevel="1" x14ac:dyDescent="0.3">
      <c r="B486" s="26"/>
      <c r="C486" s="10" t="s">
        <v>237</v>
      </c>
      <c r="D486" s="280" t="b">
        <f>IF(E486&gt;0,TRUE,FALSE)</f>
        <v>1</v>
      </c>
      <c r="E486" s="172">
        <v>5</v>
      </c>
      <c r="P486" s="205">
        <f>IF(K488="No",E486,"")</f>
        <v>5</v>
      </c>
    </row>
    <row r="487" spans="2:16" s="1" customFormat="1" outlineLevel="1" x14ac:dyDescent="0.3">
      <c r="B487" s="165"/>
      <c r="C487" s="11" t="s">
        <v>247</v>
      </c>
      <c r="D487" s="290"/>
      <c r="E487" s="228">
        <f>SUMPRODUCT(E469:E485,F469:F485)</f>
        <v>8628</v>
      </c>
      <c r="P487" s="229">
        <f>IF(K488="No",E487,"")</f>
        <v>8628</v>
      </c>
    </row>
    <row r="488" spans="2:16" s="1" customFormat="1" ht="15" outlineLevel="1" thickBot="1" x14ac:dyDescent="0.35">
      <c r="B488" s="52"/>
      <c r="C488" s="11" t="s">
        <v>248</v>
      </c>
      <c r="D488" s="280" t="b">
        <f>IF(AND(K488="Yes",L488&lt;0),FALSE,TRUE)</f>
        <v>1</v>
      </c>
      <c r="E488" s="228">
        <f>E487/E486</f>
        <v>1725.6</v>
      </c>
      <c r="J488" s="308" t="s">
        <v>360</v>
      </c>
      <c r="K488" s="307" t="s">
        <v>686</v>
      </c>
      <c r="L488" s="12">
        <v>1750</v>
      </c>
      <c r="P488" s="230">
        <f>IF(OR(K488="Y",K488="Yes"),L488,E488)</f>
        <v>1725.6</v>
      </c>
    </row>
    <row r="489" spans="2:16" x14ac:dyDescent="0.3">
      <c r="B489" s="19"/>
      <c r="C489" s="19"/>
    </row>
    <row r="490" spans="2:16" ht="15.6" x14ac:dyDescent="0.3">
      <c r="B490" s="253" t="s">
        <v>327</v>
      </c>
      <c r="C490" s="254"/>
    </row>
    <row r="491" spans="2:16" ht="15" outlineLevel="1" thickBot="1" x14ac:dyDescent="0.35">
      <c r="B491" s="26"/>
      <c r="C491" s="25"/>
      <c r="E491" s="268"/>
      <c r="F491" s="242" t="s">
        <v>58</v>
      </c>
      <c r="G491" s="269"/>
    </row>
    <row r="492" spans="2:16" ht="28.8" outlineLevel="1" x14ac:dyDescent="0.3">
      <c r="B492" s="26"/>
      <c r="C492" s="220"/>
      <c r="E492" s="35" t="s">
        <v>18</v>
      </c>
      <c r="F492" s="35" t="s">
        <v>20</v>
      </c>
      <c r="G492" s="35" t="s">
        <v>19</v>
      </c>
      <c r="P492" s="712" t="s">
        <v>2</v>
      </c>
    </row>
    <row r="493" spans="2:16" outlineLevel="1" x14ac:dyDescent="0.3">
      <c r="B493" s="29"/>
      <c r="C493" s="7" t="s">
        <v>358</v>
      </c>
      <c r="D493" s="280" t="b">
        <f>IF(AND(E493&gt;=0,F493&gt;=0,G493&gt;=0),TRUE,FALSE)</f>
        <v>1</v>
      </c>
      <c r="E493" s="8">
        <v>0</v>
      </c>
      <c r="F493" s="8">
        <v>0</v>
      </c>
      <c r="G493" s="8">
        <v>0</v>
      </c>
      <c r="P493" s="102">
        <f ca="1">(E493*('F. Provider-Level Services'!P103+'F. Provider-Level Services'!P116)+F493*('F. Provider-Level Services'!P267+'F. Provider-Level Services'!P280)+G493*('F. Provider-Level Services'!P431+'F. Provider-Level Services'!P444))/(('F. Provider-Level Services'!P103+'F. Provider-Level Services'!P116)+('F. Provider-Level Services'!P267+'F. Provider-Level Services'!P280)+('F. Provider-Level Services'!P431+'F. Provider-Level Services'!P444))</f>
        <v>0</v>
      </c>
    </row>
    <row r="494" spans="2:16" ht="15" outlineLevel="1" thickBot="1" x14ac:dyDescent="0.35">
      <c r="B494" s="27"/>
      <c r="C494" s="7" t="s">
        <v>249</v>
      </c>
      <c r="D494" s="280" t="b">
        <f>IF(AND(E494&gt;=0,F494&gt;=0,G494&gt;=0),TRUE,FALSE)</f>
        <v>1</v>
      </c>
      <c r="E494" s="8">
        <v>0</v>
      </c>
      <c r="F494" s="8">
        <v>0</v>
      </c>
      <c r="G494" s="8">
        <v>0</v>
      </c>
      <c r="P494" s="340">
        <f ca="1">(E494*('F. Provider-Level Services'!P103+'F. Provider-Level Services'!P116)+F494*('F. Provider-Level Services'!P267+'F. Provider-Level Services'!P280)+G494*('F. Provider-Level Services'!P431+'F. Provider-Level Services'!P444))/(('F. Provider-Level Services'!P103+'F. Provider-Level Services'!P116)+('F. Provider-Level Services'!P267+'F. Provider-Level Services'!P280)+('F. Provider-Level Services'!P431+'F. Provider-Level Services'!P444))</f>
        <v>0</v>
      </c>
    </row>
  </sheetData>
  <mergeCells count="4">
    <mergeCell ref="E4:O4"/>
    <mergeCell ref="E3:O3"/>
    <mergeCell ref="E5:O5"/>
    <mergeCell ref="P233:P234"/>
  </mergeCells>
  <dataValidations count="1">
    <dataValidation type="list" showInputMessage="1" showErrorMessage="1" sqref="J225 G368:G372 G386:G390 G406:G410 M414 M417:M419 K442 K452 K458 K488 N252 M56 M54">
      <formula1>"Yes,No"</formula1>
    </dataValidation>
  </dataValidations>
  <pageMargins left="0.7" right="0.7" top="0.75" bottom="0.75" header="0.3" footer="0.3"/>
  <pageSetup scale="50" fitToHeight="0" orientation="landscape" r:id="rId1"/>
  <headerFooter>
    <oddFooter>&amp;L&amp;A&amp;RPage &amp;P</oddFooter>
  </headerFooter>
  <rowBreaks count="9" manualBreakCount="9">
    <brk id="71" max="16383" man="1"/>
    <brk id="105" max="28" man="1"/>
    <brk id="158" max="28" man="1"/>
    <brk id="209" max="28" man="1"/>
    <brk id="243" max="28" man="1"/>
    <brk id="295" max="28" man="1"/>
    <brk id="345" max="28" man="1"/>
    <brk id="410" max="28" man="1"/>
    <brk id="459" max="28" man="1"/>
  </rowBreaks>
  <ignoredErrors>
    <ignoredError sqref="E327:F327 E79:O79 E126:O126 G327:O327 E40 E275:O275" formulaRange="1"/>
    <ignoredError sqref="P142:P144 P140:P141 P137 M381 M363 D288:D289 D287 P171 P194 P192" formula="1"/>
    <ignoredError sqref="P493:P494"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 Demographic Tables'!$B$8:$B$58</xm:f>
          </x14:formula1>
          <xm:sqref>E5:O5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443"/>
  <sheetViews>
    <sheetView topLeftCell="A25" workbookViewId="0">
      <selection activeCell="A41" sqref="A41"/>
    </sheetView>
  </sheetViews>
  <sheetFormatPr defaultColWidth="8.77734375" defaultRowHeight="14.4" x14ac:dyDescent="0.3"/>
  <cols>
    <col min="2" max="2" width="20" bestFit="1" customWidth="1"/>
    <col min="3" max="20" width="16.6640625" customWidth="1"/>
  </cols>
  <sheetData>
    <row r="2" spans="1:13" ht="18" x14ac:dyDescent="0.35">
      <c r="A2" s="17" t="s">
        <v>815</v>
      </c>
    </row>
    <row r="3" spans="1:13" ht="15.6" x14ac:dyDescent="0.3">
      <c r="A3" s="236" t="s">
        <v>816</v>
      </c>
    </row>
    <row r="4" spans="1:13" x14ac:dyDescent="0.3">
      <c r="A4" s="573" t="s">
        <v>820</v>
      </c>
    </row>
    <row r="5" spans="1:13" s="280" customFormat="1" x14ac:dyDescent="0.3">
      <c r="B5" s="567"/>
      <c r="C5" s="572"/>
      <c r="D5" s="572"/>
      <c r="E5" s="572"/>
      <c r="F5" s="572"/>
      <c r="G5" s="572"/>
      <c r="H5" s="572"/>
      <c r="I5" s="572"/>
      <c r="J5" s="572"/>
      <c r="K5" s="572"/>
      <c r="L5" s="572"/>
      <c r="M5" s="572"/>
    </row>
    <row r="6" spans="1:13" ht="15" thickBot="1" x14ac:dyDescent="0.35">
      <c r="C6" s="782" t="s">
        <v>251</v>
      </c>
      <c r="D6" s="783"/>
      <c r="E6" s="783"/>
      <c r="F6" s="783"/>
      <c r="G6" s="783"/>
      <c r="H6" s="783"/>
      <c r="I6" s="783"/>
      <c r="J6" s="783"/>
      <c r="K6" s="783"/>
      <c r="L6" s="783"/>
      <c r="M6" s="783"/>
    </row>
    <row r="7" spans="1:13" ht="15.6" x14ac:dyDescent="0.3">
      <c r="B7" s="231" t="s">
        <v>250</v>
      </c>
      <c r="C7" s="232">
        <v>2015</v>
      </c>
      <c r="D7" s="232">
        <v>2016</v>
      </c>
      <c r="E7" s="232">
        <v>2017</v>
      </c>
      <c r="F7" s="232">
        <v>2018</v>
      </c>
      <c r="G7" s="232">
        <v>2019</v>
      </c>
      <c r="H7" s="232">
        <v>2020</v>
      </c>
      <c r="I7" s="232">
        <v>2021</v>
      </c>
      <c r="J7" s="232">
        <v>2022</v>
      </c>
      <c r="K7" s="232">
        <v>2023</v>
      </c>
      <c r="L7" s="232">
        <v>2024</v>
      </c>
      <c r="M7" s="233">
        <v>2025</v>
      </c>
    </row>
    <row r="8" spans="1:13" x14ac:dyDescent="0.3">
      <c r="B8" s="447" t="s">
        <v>252</v>
      </c>
      <c r="C8" s="557">
        <v>119057</v>
      </c>
      <c r="D8" s="557">
        <v>118249</v>
      </c>
      <c r="E8" s="557">
        <v>117447</v>
      </c>
      <c r="F8" s="557">
        <v>116650</v>
      </c>
      <c r="G8" s="557">
        <v>115859</v>
      </c>
      <c r="H8" s="557">
        <v>115073</v>
      </c>
      <c r="I8" s="557">
        <v>114292</v>
      </c>
      <c r="J8" s="557">
        <v>113517</v>
      </c>
      <c r="K8" s="557">
        <v>112747</v>
      </c>
      <c r="L8" s="557">
        <v>111982</v>
      </c>
      <c r="M8" s="558">
        <v>111222</v>
      </c>
    </row>
    <row r="9" spans="1:13" x14ac:dyDescent="0.3">
      <c r="B9" s="447" t="s">
        <v>253</v>
      </c>
      <c r="C9" s="557">
        <v>21889</v>
      </c>
      <c r="D9" s="557">
        <v>21988</v>
      </c>
      <c r="E9" s="557">
        <v>22088</v>
      </c>
      <c r="F9" s="557">
        <v>22188</v>
      </c>
      <c r="G9" s="557">
        <v>22288</v>
      </c>
      <c r="H9" s="557">
        <v>22389</v>
      </c>
      <c r="I9" s="557">
        <v>22490</v>
      </c>
      <c r="J9" s="557">
        <v>22592</v>
      </c>
      <c r="K9" s="557">
        <v>22694</v>
      </c>
      <c r="L9" s="557">
        <v>22797</v>
      </c>
      <c r="M9" s="558">
        <v>22900</v>
      </c>
    </row>
    <row r="10" spans="1:13" x14ac:dyDescent="0.3">
      <c r="B10" s="447" t="s">
        <v>254</v>
      </c>
      <c r="C10" s="557">
        <v>171369</v>
      </c>
      <c r="D10" s="557">
        <v>168678</v>
      </c>
      <c r="E10" s="557">
        <v>166029</v>
      </c>
      <c r="F10" s="557">
        <v>163421</v>
      </c>
      <c r="G10" s="557">
        <v>160854</v>
      </c>
      <c r="H10" s="557">
        <v>158328</v>
      </c>
      <c r="I10" s="557">
        <v>155841</v>
      </c>
      <c r="J10" s="557">
        <v>153393</v>
      </c>
      <c r="K10" s="557">
        <v>150984</v>
      </c>
      <c r="L10" s="557">
        <v>148613</v>
      </c>
      <c r="M10" s="558">
        <v>146279</v>
      </c>
    </row>
    <row r="11" spans="1:13" x14ac:dyDescent="0.3">
      <c r="B11" s="447" t="s">
        <v>255</v>
      </c>
      <c r="C11" s="557">
        <v>75757</v>
      </c>
      <c r="D11" s="557">
        <v>74819</v>
      </c>
      <c r="E11" s="557">
        <v>73892</v>
      </c>
      <c r="F11" s="557">
        <v>72977</v>
      </c>
      <c r="G11" s="557">
        <v>72073</v>
      </c>
      <c r="H11" s="557">
        <v>71180</v>
      </c>
      <c r="I11" s="557">
        <v>70298</v>
      </c>
      <c r="J11" s="557">
        <v>69427</v>
      </c>
      <c r="K11" s="557">
        <v>68567</v>
      </c>
      <c r="L11" s="557">
        <v>67718</v>
      </c>
      <c r="M11" s="558">
        <v>66879</v>
      </c>
    </row>
    <row r="12" spans="1:13" x14ac:dyDescent="0.3">
      <c r="B12" s="447" t="s">
        <v>256</v>
      </c>
      <c r="C12" s="557">
        <v>1008729</v>
      </c>
      <c r="D12" s="557">
        <v>1005424</v>
      </c>
      <c r="E12" s="557">
        <v>1002130</v>
      </c>
      <c r="F12" s="557">
        <v>998847</v>
      </c>
      <c r="G12" s="557">
        <v>995575</v>
      </c>
      <c r="H12" s="557">
        <v>992314</v>
      </c>
      <c r="I12" s="557">
        <v>989063</v>
      </c>
      <c r="J12" s="557">
        <v>985823</v>
      </c>
      <c r="K12" s="557">
        <v>982593</v>
      </c>
      <c r="L12" s="557">
        <v>979374</v>
      </c>
      <c r="M12" s="558">
        <v>976166</v>
      </c>
    </row>
    <row r="13" spans="1:13" x14ac:dyDescent="0.3">
      <c r="B13" s="447" t="s">
        <v>257</v>
      </c>
      <c r="C13" s="557">
        <v>134875</v>
      </c>
      <c r="D13" s="557">
        <v>133802</v>
      </c>
      <c r="E13" s="557">
        <v>132738</v>
      </c>
      <c r="F13" s="557">
        <v>131682</v>
      </c>
      <c r="G13" s="557">
        <v>130635</v>
      </c>
      <c r="H13" s="557">
        <v>129596</v>
      </c>
      <c r="I13" s="557">
        <v>128565</v>
      </c>
      <c r="J13" s="557">
        <v>127543</v>
      </c>
      <c r="K13" s="557">
        <v>126529</v>
      </c>
      <c r="L13" s="557">
        <v>125523</v>
      </c>
      <c r="M13" s="558">
        <v>124525</v>
      </c>
    </row>
    <row r="14" spans="1:13" x14ac:dyDescent="0.3">
      <c r="B14" s="447" t="s">
        <v>258</v>
      </c>
      <c r="C14" s="557">
        <v>76233</v>
      </c>
      <c r="D14" s="557">
        <v>74771</v>
      </c>
      <c r="E14" s="557">
        <v>73337</v>
      </c>
      <c r="F14" s="557">
        <v>71930</v>
      </c>
      <c r="G14" s="557">
        <v>70550</v>
      </c>
      <c r="H14" s="557">
        <v>69197</v>
      </c>
      <c r="I14" s="557">
        <v>67870</v>
      </c>
      <c r="J14" s="557">
        <v>66568</v>
      </c>
      <c r="K14" s="557">
        <v>65291</v>
      </c>
      <c r="L14" s="557">
        <v>64039</v>
      </c>
      <c r="M14" s="558">
        <v>62811</v>
      </c>
    </row>
    <row r="15" spans="1:13" x14ac:dyDescent="0.3">
      <c r="B15" s="447" t="s">
        <v>259</v>
      </c>
      <c r="C15" s="557">
        <v>22811</v>
      </c>
      <c r="D15" s="557">
        <v>22832</v>
      </c>
      <c r="E15" s="557">
        <v>22853</v>
      </c>
      <c r="F15" s="557">
        <v>22874</v>
      </c>
      <c r="G15" s="557">
        <v>22895</v>
      </c>
      <c r="H15" s="557">
        <v>22916</v>
      </c>
      <c r="I15" s="557">
        <v>22937</v>
      </c>
      <c r="J15" s="557">
        <v>22958</v>
      </c>
      <c r="K15" s="557">
        <v>22979</v>
      </c>
      <c r="L15" s="557">
        <v>23000</v>
      </c>
      <c r="M15" s="558">
        <v>23021</v>
      </c>
    </row>
    <row r="16" spans="1:13" x14ac:dyDescent="0.3">
      <c r="B16" s="447" t="s">
        <v>1081</v>
      </c>
      <c r="C16" s="557">
        <v>17656</v>
      </c>
      <c r="D16" s="557">
        <v>18997</v>
      </c>
      <c r="E16" s="557">
        <v>20440</v>
      </c>
      <c r="F16" s="557">
        <v>21993</v>
      </c>
      <c r="G16" s="557">
        <v>23664</v>
      </c>
      <c r="H16" s="557">
        <v>25462</v>
      </c>
      <c r="I16" s="557">
        <v>27396</v>
      </c>
      <c r="J16" s="557">
        <v>29477</v>
      </c>
      <c r="K16" s="557">
        <v>31716</v>
      </c>
      <c r="L16" s="557">
        <v>34125</v>
      </c>
      <c r="M16" s="558">
        <v>36717</v>
      </c>
    </row>
    <row r="17" spans="2:13" x14ac:dyDescent="0.3">
      <c r="B17" s="447" t="s">
        <v>260</v>
      </c>
      <c r="C17" s="557">
        <v>436373</v>
      </c>
      <c r="D17" s="557">
        <v>436361</v>
      </c>
      <c r="E17" s="557">
        <v>436349</v>
      </c>
      <c r="F17" s="557">
        <v>436337</v>
      </c>
      <c r="G17" s="557">
        <v>436325</v>
      </c>
      <c r="H17" s="557">
        <v>436313</v>
      </c>
      <c r="I17" s="557">
        <v>436301</v>
      </c>
      <c r="J17" s="557">
        <v>436289</v>
      </c>
      <c r="K17" s="557">
        <v>436277</v>
      </c>
      <c r="L17" s="557">
        <v>436265</v>
      </c>
      <c r="M17" s="558">
        <v>436253</v>
      </c>
    </row>
    <row r="18" spans="2:13" x14ac:dyDescent="0.3">
      <c r="B18" s="447" t="s">
        <v>261</v>
      </c>
      <c r="C18" s="557">
        <v>268443</v>
      </c>
      <c r="D18" s="557">
        <v>266238</v>
      </c>
      <c r="E18" s="557">
        <v>264051</v>
      </c>
      <c r="F18" s="557">
        <v>261882</v>
      </c>
      <c r="G18" s="557">
        <v>259731</v>
      </c>
      <c r="H18" s="557">
        <v>257598</v>
      </c>
      <c r="I18" s="557">
        <v>255482</v>
      </c>
      <c r="J18" s="557">
        <v>253384</v>
      </c>
      <c r="K18" s="557">
        <v>251303</v>
      </c>
      <c r="L18" s="557">
        <v>249239</v>
      </c>
      <c r="M18" s="558">
        <v>247192</v>
      </c>
    </row>
    <row r="19" spans="2:13" x14ac:dyDescent="0.3">
      <c r="B19" s="447" t="s">
        <v>262</v>
      </c>
      <c r="C19" s="557">
        <v>36494</v>
      </c>
      <c r="D19" s="557">
        <v>36946</v>
      </c>
      <c r="E19" s="557">
        <v>37403</v>
      </c>
      <c r="F19" s="557">
        <v>37866</v>
      </c>
      <c r="G19" s="557">
        <v>38335</v>
      </c>
      <c r="H19" s="557">
        <v>38810</v>
      </c>
      <c r="I19" s="557">
        <v>39290</v>
      </c>
      <c r="J19" s="557">
        <v>39776</v>
      </c>
      <c r="K19" s="557">
        <v>40268</v>
      </c>
      <c r="L19" s="557">
        <v>40766</v>
      </c>
      <c r="M19" s="558">
        <v>41271</v>
      </c>
    </row>
    <row r="20" spans="2:13" x14ac:dyDescent="0.3">
      <c r="B20" s="447" t="s">
        <v>263</v>
      </c>
      <c r="C20" s="557">
        <v>45324</v>
      </c>
      <c r="D20" s="557">
        <v>44566</v>
      </c>
      <c r="E20" s="557">
        <v>43821</v>
      </c>
      <c r="F20" s="557">
        <v>43088</v>
      </c>
      <c r="G20" s="557">
        <v>42367</v>
      </c>
      <c r="H20" s="557">
        <v>41658</v>
      </c>
      <c r="I20" s="557">
        <v>40961</v>
      </c>
      <c r="J20" s="557">
        <v>40276</v>
      </c>
      <c r="K20" s="557">
        <v>39602</v>
      </c>
      <c r="L20" s="557">
        <v>38940</v>
      </c>
      <c r="M20" s="558">
        <v>38289</v>
      </c>
    </row>
    <row r="21" spans="2:13" x14ac:dyDescent="0.3">
      <c r="B21" s="447" t="s">
        <v>264</v>
      </c>
      <c r="C21" s="557">
        <v>315428</v>
      </c>
      <c r="D21" s="557">
        <v>310848</v>
      </c>
      <c r="E21" s="557">
        <v>306334</v>
      </c>
      <c r="F21" s="557">
        <v>301886</v>
      </c>
      <c r="G21" s="557">
        <v>297503</v>
      </c>
      <c r="H21" s="557">
        <v>293183</v>
      </c>
      <c r="I21" s="557">
        <v>288926</v>
      </c>
      <c r="J21" s="557">
        <v>284731</v>
      </c>
      <c r="K21" s="557">
        <v>280597</v>
      </c>
      <c r="L21" s="557">
        <v>276523</v>
      </c>
      <c r="M21" s="558">
        <v>272508</v>
      </c>
    </row>
    <row r="22" spans="2:13" x14ac:dyDescent="0.3">
      <c r="B22" s="447" t="s">
        <v>265</v>
      </c>
      <c r="C22" s="557">
        <v>167362</v>
      </c>
      <c r="D22" s="557">
        <v>165544</v>
      </c>
      <c r="E22" s="557">
        <v>163746</v>
      </c>
      <c r="F22" s="557">
        <v>161967</v>
      </c>
      <c r="G22" s="557">
        <v>160208</v>
      </c>
      <c r="H22" s="557">
        <v>158468</v>
      </c>
      <c r="I22" s="557">
        <v>156747</v>
      </c>
      <c r="J22" s="557">
        <v>155044</v>
      </c>
      <c r="K22" s="557">
        <v>153360</v>
      </c>
      <c r="L22" s="557">
        <v>151694</v>
      </c>
      <c r="M22" s="558">
        <v>150046</v>
      </c>
    </row>
    <row r="23" spans="2:13" x14ac:dyDescent="0.3">
      <c r="B23" s="447" t="s">
        <v>266</v>
      </c>
      <c r="C23" s="557">
        <v>77579</v>
      </c>
      <c r="D23" s="557">
        <v>76684</v>
      </c>
      <c r="E23" s="557">
        <v>75799</v>
      </c>
      <c r="F23" s="557">
        <v>74924</v>
      </c>
      <c r="G23" s="557">
        <v>74060</v>
      </c>
      <c r="H23" s="557">
        <v>73206</v>
      </c>
      <c r="I23" s="557">
        <v>72361</v>
      </c>
      <c r="J23" s="557">
        <v>71526</v>
      </c>
      <c r="K23" s="557">
        <v>70701</v>
      </c>
      <c r="L23" s="557">
        <v>69885</v>
      </c>
      <c r="M23" s="558">
        <v>69079</v>
      </c>
    </row>
    <row r="24" spans="2:13" x14ac:dyDescent="0.3">
      <c r="B24" s="447" t="s">
        <v>267</v>
      </c>
      <c r="C24" s="557">
        <v>80047</v>
      </c>
      <c r="D24" s="557">
        <v>79549</v>
      </c>
      <c r="E24" s="557">
        <v>79054</v>
      </c>
      <c r="F24" s="557">
        <v>78562</v>
      </c>
      <c r="G24" s="557">
        <v>78073</v>
      </c>
      <c r="H24" s="557">
        <v>77587</v>
      </c>
      <c r="I24" s="557">
        <v>77104</v>
      </c>
      <c r="J24" s="557">
        <v>76624</v>
      </c>
      <c r="K24" s="557">
        <v>76147</v>
      </c>
      <c r="L24" s="557">
        <v>75673</v>
      </c>
      <c r="M24" s="558">
        <v>75202</v>
      </c>
    </row>
    <row r="25" spans="2:13" x14ac:dyDescent="0.3">
      <c r="B25" s="447" t="s">
        <v>268</v>
      </c>
      <c r="C25" s="557">
        <v>109297</v>
      </c>
      <c r="D25" s="557">
        <v>108284</v>
      </c>
      <c r="E25" s="557">
        <v>107280</v>
      </c>
      <c r="F25" s="557">
        <v>106286</v>
      </c>
      <c r="G25" s="557">
        <v>105301</v>
      </c>
      <c r="H25" s="557">
        <v>104325</v>
      </c>
      <c r="I25" s="557">
        <v>103358</v>
      </c>
      <c r="J25" s="557">
        <v>102400</v>
      </c>
      <c r="K25" s="557">
        <v>101451</v>
      </c>
      <c r="L25" s="557">
        <v>100511</v>
      </c>
      <c r="M25" s="558">
        <v>99579</v>
      </c>
    </row>
    <row r="26" spans="2:13" x14ac:dyDescent="0.3">
      <c r="B26" s="447" t="s">
        <v>269</v>
      </c>
      <c r="C26" s="557">
        <v>122800</v>
      </c>
      <c r="D26" s="557">
        <v>122017</v>
      </c>
      <c r="E26" s="557">
        <v>121239</v>
      </c>
      <c r="F26" s="557">
        <v>120466</v>
      </c>
      <c r="G26" s="557">
        <v>119698</v>
      </c>
      <c r="H26" s="557">
        <v>118935</v>
      </c>
      <c r="I26" s="557">
        <v>118176</v>
      </c>
      <c r="J26" s="557">
        <v>117422</v>
      </c>
      <c r="K26" s="557">
        <v>116673</v>
      </c>
      <c r="L26" s="557">
        <v>115929</v>
      </c>
      <c r="M26" s="558">
        <v>115190</v>
      </c>
    </row>
    <row r="27" spans="2:13" x14ac:dyDescent="0.3">
      <c r="B27" s="447" t="s">
        <v>270</v>
      </c>
      <c r="C27" s="557">
        <v>25531</v>
      </c>
      <c r="D27" s="557">
        <v>24930</v>
      </c>
      <c r="E27" s="557">
        <v>24343</v>
      </c>
      <c r="F27" s="557">
        <v>23770</v>
      </c>
      <c r="G27" s="557">
        <v>23210</v>
      </c>
      <c r="H27" s="557">
        <v>22663</v>
      </c>
      <c r="I27" s="557">
        <v>22129</v>
      </c>
      <c r="J27" s="557">
        <v>21608</v>
      </c>
      <c r="K27" s="557">
        <v>21099</v>
      </c>
      <c r="L27" s="557">
        <v>20602</v>
      </c>
      <c r="M27" s="558">
        <v>20117</v>
      </c>
    </row>
    <row r="28" spans="2:13" x14ac:dyDescent="0.3">
      <c r="B28" s="447" t="s">
        <v>271</v>
      </c>
      <c r="C28" s="557">
        <v>149567</v>
      </c>
      <c r="D28" s="557">
        <v>150043</v>
      </c>
      <c r="E28" s="557">
        <v>150520</v>
      </c>
      <c r="F28" s="557">
        <v>150999</v>
      </c>
      <c r="G28" s="557">
        <v>151479</v>
      </c>
      <c r="H28" s="557">
        <v>151961</v>
      </c>
      <c r="I28" s="557">
        <v>152444</v>
      </c>
      <c r="J28" s="557">
        <v>152929</v>
      </c>
      <c r="K28" s="557">
        <v>153415</v>
      </c>
      <c r="L28" s="557">
        <v>153903</v>
      </c>
      <c r="M28" s="558">
        <v>154392</v>
      </c>
    </row>
    <row r="29" spans="2:13" x14ac:dyDescent="0.3">
      <c r="B29" s="447" t="s">
        <v>272</v>
      </c>
      <c r="C29" s="557">
        <v>146053</v>
      </c>
      <c r="D29" s="557">
        <v>145407</v>
      </c>
      <c r="E29" s="557">
        <v>144763</v>
      </c>
      <c r="F29" s="557">
        <v>144122</v>
      </c>
      <c r="G29" s="557">
        <v>143484</v>
      </c>
      <c r="H29" s="557">
        <v>142849</v>
      </c>
      <c r="I29" s="557">
        <v>142217</v>
      </c>
      <c r="J29" s="557">
        <v>141588</v>
      </c>
      <c r="K29" s="557">
        <v>140961</v>
      </c>
      <c r="L29" s="557">
        <v>140337</v>
      </c>
      <c r="M29" s="558">
        <v>139716</v>
      </c>
    </row>
    <row r="30" spans="2:13" x14ac:dyDescent="0.3">
      <c r="B30" s="447" t="s">
        <v>273</v>
      </c>
      <c r="C30" s="557">
        <v>227734</v>
      </c>
      <c r="D30" s="557">
        <v>224593</v>
      </c>
      <c r="E30" s="557">
        <v>221495</v>
      </c>
      <c r="F30" s="557">
        <v>218440</v>
      </c>
      <c r="G30" s="557">
        <v>215427</v>
      </c>
      <c r="H30" s="557">
        <v>212456</v>
      </c>
      <c r="I30" s="557">
        <v>209526</v>
      </c>
      <c r="J30" s="557">
        <v>206636</v>
      </c>
      <c r="K30" s="557">
        <v>203786</v>
      </c>
      <c r="L30" s="557">
        <v>200975</v>
      </c>
      <c r="M30" s="558">
        <v>198203</v>
      </c>
    </row>
    <row r="31" spans="2:13" x14ac:dyDescent="0.3">
      <c r="B31" s="447" t="s">
        <v>274</v>
      </c>
      <c r="C31" s="557">
        <v>139121</v>
      </c>
      <c r="D31" s="557">
        <v>138071</v>
      </c>
      <c r="E31" s="557">
        <v>137029</v>
      </c>
      <c r="F31" s="557">
        <v>135995</v>
      </c>
      <c r="G31" s="557">
        <v>134968</v>
      </c>
      <c r="H31" s="557">
        <v>133949</v>
      </c>
      <c r="I31" s="557">
        <v>132938</v>
      </c>
      <c r="J31" s="557">
        <v>131934</v>
      </c>
      <c r="K31" s="557">
        <v>130938</v>
      </c>
      <c r="L31" s="557">
        <v>129950</v>
      </c>
      <c r="M31" s="558">
        <v>128969</v>
      </c>
    </row>
    <row r="32" spans="2:13" x14ac:dyDescent="0.3">
      <c r="B32" s="447" t="s">
        <v>275</v>
      </c>
      <c r="C32" s="557">
        <v>77342</v>
      </c>
      <c r="D32" s="557">
        <v>75712</v>
      </c>
      <c r="E32" s="557">
        <v>74116</v>
      </c>
      <c r="F32" s="557">
        <v>72554</v>
      </c>
      <c r="G32" s="557">
        <v>71025</v>
      </c>
      <c r="H32" s="557">
        <v>69528</v>
      </c>
      <c r="I32" s="557">
        <v>68063</v>
      </c>
      <c r="J32" s="557">
        <v>66629</v>
      </c>
      <c r="K32" s="557">
        <v>65225</v>
      </c>
      <c r="L32" s="557">
        <v>63850</v>
      </c>
      <c r="M32" s="558">
        <v>62504</v>
      </c>
    </row>
    <row r="33" spans="2:13" x14ac:dyDescent="0.3">
      <c r="B33" s="447" t="s">
        <v>276</v>
      </c>
      <c r="C33" s="557">
        <v>149106</v>
      </c>
      <c r="D33" s="557">
        <v>147348</v>
      </c>
      <c r="E33" s="557">
        <v>145611</v>
      </c>
      <c r="F33" s="557">
        <v>143894</v>
      </c>
      <c r="G33" s="557">
        <v>142197</v>
      </c>
      <c r="H33" s="557">
        <v>140520</v>
      </c>
      <c r="I33" s="557">
        <v>138863</v>
      </c>
      <c r="J33" s="557">
        <v>137226</v>
      </c>
      <c r="K33" s="557">
        <v>135608</v>
      </c>
      <c r="L33" s="557">
        <v>134009</v>
      </c>
      <c r="M33" s="558">
        <v>132429</v>
      </c>
    </row>
    <row r="34" spans="2:13" x14ac:dyDescent="0.3">
      <c r="B34" s="447" t="s">
        <v>277</v>
      </c>
      <c r="C34" s="557">
        <v>24387</v>
      </c>
      <c r="D34" s="557">
        <v>24205</v>
      </c>
      <c r="E34" s="557">
        <v>24024</v>
      </c>
      <c r="F34" s="557">
        <v>23844</v>
      </c>
      <c r="G34" s="557">
        <v>23666</v>
      </c>
      <c r="H34" s="557">
        <v>23489</v>
      </c>
      <c r="I34" s="557">
        <v>23313</v>
      </c>
      <c r="J34" s="557">
        <v>23139</v>
      </c>
      <c r="K34" s="557">
        <v>22966</v>
      </c>
      <c r="L34" s="557">
        <v>22794</v>
      </c>
      <c r="M34" s="558">
        <v>22624</v>
      </c>
    </row>
    <row r="35" spans="2:13" x14ac:dyDescent="0.3">
      <c r="B35" s="447" t="s">
        <v>278</v>
      </c>
      <c r="C35" s="557">
        <v>52082</v>
      </c>
      <c r="D35" s="557">
        <v>51909</v>
      </c>
      <c r="E35" s="557">
        <v>51736</v>
      </c>
      <c r="F35" s="557">
        <v>51564</v>
      </c>
      <c r="G35" s="557">
        <v>51393</v>
      </c>
      <c r="H35" s="557">
        <v>51222</v>
      </c>
      <c r="I35" s="557">
        <v>51052</v>
      </c>
      <c r="J35" s="557">
        <v>50882</v>
      </c>
      <c r="K35" s="557">
        <v>50713</v>
      </c>
      <c r="L35" s="557">
        <v>50544</v>
      </c>
      <c r="M35" s="558">
        <v>50376</v>
      </c>
    </row>
    <row r="36" spans="2:13" x14ac:dyDescent="0.3">
      <c r="B36" s="447" t="s">
        <v>279</v>
      </c>
      <c r="C36" s="557">
        <v>71499</v>
      </c>
      <c r="D36" s="557">
        <v>70702</v>
      </c>
      <c r="E36" s="557">
        <v>69914</v>
      </c>
      <c r="F36" s="557">
        <v>69135</v>
      </c>
      <c r="G36" s="557">
        <v>68365</v>
      </c>
      <c r="H36" s="557">
        <v>67603</v>
      </c>
      <c r="I36" s="557">
        <v>66850</v>
      </c>
      <c r="J36" s="557">
        <v>66105</v>
      </c>
      <c r="K36" s="557">
        <v>65368</v>
      </c>
      <c r="L36" s="557">
        <v>64640</v>
      </c>
      <c r="M36" s="558">
        <v>63920</v>
      </c>
    </row>
    <row r="37" spans="2:13" x14ac:dyDescent="0.3">
      <c r="B37" s="447" t="s">
        <v>280</v>
      </c>
      <c r="C37" s="557">
        <v>25899</v>
      </c>
      <c r="D37" s="557">
        <v>25296</v>
      </c>
      <c r="E37" s="557">
        <v>24708</v>
      </c>
      <c r="F37" s="557">
        <v>24133</v>
      </c>
      <c r="G37" s="557">
        <v>23572</v>
      </c>
      <c r="H37" s="557">
        <v>23024</v>
      </c>
      <c r="I37" s="557">
        <v>22488</v>
      </c>
      <c r="J37" s="557">
        <v>21965</v>
      </c>
      <c r="K37" s="557">
        <v>21454</v>
      </c>
      <c r="L37" s="557">
        <v>20955</v>
      </c>
      <c r="M37" s="558">
        <v>20467</v>
      </c>
    </row>
    <row r="38" spans="2:13" x14ac:dyDescent="0.3">
      <c r="B38" s="447" t="s">
        <v>281</v>
      </c>
      <c r="C38" s="557">
        <v>215220</v>
      </c>
      <c r="D38" s="557">
        <v>214057</v>
      </c>
      <c r="E38" s="557">
        <v>212900</v>
      </c>
      <c r="F38" s="557">
        <v>211749</v>
      </c>
      <c r="G38" s="557">
        <v>210605</v>
      </c>
      <c r="H38" s="557">
        <v>209467</v>
      </c>
      <c r="I38" s="557">
        <v>208335</v>
      </c>
      <c r="J38" s="557">
        <v>207209</v>
      </c>
      <c r="K38" s="557">
        <v>206089</v>
      </c>
      <c r="L38" s="557">
        <v>204975</v>
      </c>
      <c r="M38" s="558">
        <v>203867</v>
      </c>
    </row>
    <row r="39" spans="2:13" x14ac:dyDescent="0.3">
      <c r="B39" s="447" t="s">
        <v>282</v>
      </c>
      <c r="C39" s="557">
        <v>55062</v>
      </c>
      <c r="D39" s="557">
        <v>54363</v>
      </c>
      <c r="E39" s="557">
        <v>53672</v>
      </c>
      <c r="F39" s="557">
        <v>52990</v>
      </c>
      <c r="G39" s="557">
        <v>52317</v>
      </c>
      <c r="H39" s="557">
        <v>51652</v>
      </c>
      <c r="I39" s="557">
        <v>50996</v>
      </c>
      <c r="J39" s="557">
        <v>50348</v>
      </c>
      <c r="K39" s="557">
        <v>49708</v>
      </c>
      <c r="L39" s="557">
        <v>49077</v>
      </c>
      <c r="M39" s="558">
        <v>48454</v>
      </c>
    </row>
    <row r="40" spans="2:13" x14ac:dyDescent="0.3">
      <c r="B40" s="447" t="s">
        <v>283</v>
      </c>
      <c r="C40" s="557">
        <v>471222</v>
      </c>
      <c r="D40" s="557">
        <v>472917</v>
      </c>
      <c r="E40" s="557">
        <v>474618</v>
      </c>
      <c r="F40" s="557">
        <v>476325</v>
      </c>
      <c r="G40" s="557">
        <v>478038</v>
      </c>
      <c r="H40" s="557">
        <v>479757</v>
      </c>
      <c r="I40" s="557">
        <v>481482</v>
      </c>
      <c r="J40" s="557">
        <v>483214</v>
      </c>
      <c r="K40" s="557">
        <v>484952</v>
      </c>
      <c r="L40" s="557">
        <v>486696</v>
      </c>
      <c r="M40" s="558">
        <v>488446</v>
      </c>
    </row>
    <row r="41" spans="2:13" x14ac:dyDescent="0.3">
      <c r="B41" s="447" t="s">
        <v>284</v>
      </c>
      <c r="C41" s="557">
        <v>244345</v>
      </c>
      <c r="D41" s="557">
        <v>242061</v>
      </c>
      <c r="E41" s="557">
        <v>239799</v>
      </c>
      <c r="F41" s="557">
        <v>237558</v>
      </c>
      <c r="G41" s="557">
        <v>235338</v>
      </c>
      <c r="H41" s="557">
        <v>233139</v>
      </c>
      <c r="I41" s="557">
        <v>230960</v>
      </c>
      <c r="J41" s="557">
        <v>228802</v>
      </c>
      <c r="K41" s="557">
        <v>226664</v>
      </c>
      <c r="L41" s="557">
        <v>224546</v>
      </c>
      <c r="M41" s="558">
        <v>222447</v>
      </c>
    </row>
    <row r="42" spans="2:13" x14ac:dyDescent="0.3">
      <c r="B42" s="447" t="s">
        <v>285</v>
      </c>
      <c r="C42" s="557">
        <v>20096</v>
      </c>
      <c r="D42" s="557">
        <v>20617</v>
      </c>
      <c r="E42" s="557">
        <v>21151</v>
      </c>
      <c r="F42" s="557">
        <v>21699</v>
      </c>
      <c r="G42" s="557">
        <v>22261</v>
      </c>
      <c r="H42" s="557">
        <v>22838</v>
      </c>
      <c r="I42" s="557">
        <v>23430</v>
      </c>
      <c r="J42" s="557">
        <v>24037</v>
      </c>
      <c r="K42" s="557">
        <v>24660</v>
      </c>
      <c r="L42" s="557">
        <v>25299</v>
      </c>
      <c r="M42" s="558">
        <v>25954</v>
      </c>
    </row>
    <row r="43" spans="2:13" x14ac:dyDescent="0.3">
      <c r="B43" s="447" t="s">
        <v>286</v>
      </c>
      <c r="C43" s="557">
        <v>273751</v>
      </c>
      <c r="D43" s="557">
        <v>269871</v>
      </c>
      <c r="E43" s="557">
        <v>266046</v>
      </c>
      <c r="F43" s="557">
        <v>262276</v>
      </c>
      <c r="G43" s="557">
        <v>258559</v>
      </c>
      <c r="H43" s="557">
        <v>254895</v>
      </c>
      <c r="I43" s="557">
        <v>251283</v>
      </c>
      <c r="J43" s="557">
        <v>247722</v>
      </c>
      <c r="K43" s="557">
        <v>244211</v>
      </c>
      <c r="L43" s="557">
        <v>240750</v>
      </c>
      <c r="M43" s="558">
        <v>237338</v>
      </c>
    </row>
    <row r="44" spans="2:13" x14ac:dyDescent="0.3">
      <c r="B44" s="447" t="s">
        <v>287</v>
      </c>
      <c r="C44" s="557">
        <v>107183</v>
      </c>
      <c r="D44" s="557">
        <v>107306</v>
      </c>
      <c r="E44" s="557">
        <v>107429</v>
      </c>
      <c r="F44" s="557">
        <v>107553</v>
      </c>
      <c r="G44" s="557">
        <v>107677</v>
      </c>
      <c r="H44" s="557">
        <v>107801</v>
      </c>
      <c r="I44" s="557">
        <v>107925</v>
      </c>
      <c r="J44" s="557">
        <v>108049</v>
      </c>
      <c r="K44" s="557">
        <v>108173</v>
      </c>
      <c r="L44" s="557">
        <v>108297</v>
      </c>
      <c r="M44" s="558">
        <v>108422</v>
      </c>
    </row>
    <row r="45" spans="2:13" x14ac:dyDescent="0.3">
      <c r="B45" s="447" t="s">
        <v>288</v>
      </c>
      <c r="C45" s="557">
        <v>92115</v>
      </c>
      <c r="D45" s="557">
        <v>91301</v>
      </c>
      <c r="E45" s="557">
        <v>90494</v>
      </c>
      <c r="F45" s="557">
        <v>89695</v>
      </c>
      <c r="G45" s="557">
        <v>88903</v>
      </c>
      <c r="H45" s="557">
        <v>88118</v>
      </c>
      <c r="I45" s="557">
        <v>87340</v>
      </c>
      <c r="J45" s="557">
        <v>86568</v>
      </c>
      <c r="K45" s="557">
        <v>85803</v>
      </c>
      <c r="L45" s="557">
        <v>85045</v>
      </c>
      <c r="M45" s="558">
        <v>84294</v>
      </c>
    </row>
    <row r="46" spans="2:13" x14ac:dyDescent="0.3">
      <c r="B46" s="447" t="s">
        <v>289</v>
      </c>
      <c r="C46" s="557">
        <v>284702</v>
      </c>
      <c r="D46" s="557">
        <v>282365</v>
      </c>
      <c r="E46" s="557">
        <v>280047</v>
      </c>
      <c r="F46" s="557">
        <v>277748</v>
      </c>
      <c r="G46" s="557">
        <v>275468</v>
      </c>
      <c r="H46" s="557">
        <v>273206</v>
      </c>
      <c r="I46" s="557">
        <v>270963</v>
      </c>
      <c r="J46" s="557">
        <v>268738</v>
      </c>
      <c r="K46" s="557">
        <v>266532</v>
      </c>
      <c r="L46" s="557">
        <v>264344</v>
      </c>
      <c r="M46" s="558">
        <v>262174</v>
      </c>
    </row>
    <row r="47" spans="2:13" x14ac:dyDescent="0.3">
      <c r="B47" s="447" t="s">
        <v>290</v>
      </c>
      <c r="C47" s="557">
        <v>21582</v>
      </c>
      <c r="D47" s="557">
        <v>21207</v>
      </c>
      <c r="E47" s="557">
        <v>20839</v>
      </c>
      <c r="F47" s="557">
        <v>20477</v>
      </c>
      <c r="G47" s="557">
        <v>20121</v>
      </c>
      <c r="H47" s="557">
        <v>19772</v>
      </c>
      <c r="I47" s="557">
        <v>19429</v>
      </c>
      <c r="J47" s="557">
        <v>19092</v>
      </c>
      <c r="K47" s="557">
        <v>18760</v>
      </c>
      <c r="L47" s="557">
        <v>18434</v>
      </c>
      <c r="M47" s="558">
        <v>18114</v>
      </c>
    </row>
    <row r="48" spans="2:13" x14ac:dyDescent="0.3">
      <c r="B48" s="447" t="s">
        <v>291</v>
      </c>
      <c r="C48" s="557">
        <v>116959</v>
      </c>
      <c r="D48" s="557">
        <v>115923</v>
      </c>
      <c r="E48" s="557">
        <v>114896</v>
      </c>
      <c r="F48" s="557">
        <v>113878</v>
      </c>
      <c r="G48" s="557">
        <v>112869</v>
      </c>
      <c r="H48" s="557">
        <v>111869</v>
      </c>
      <c r="I48" s="557">
        <v>110878</v>
      </c>
      <c r="J48" s="557">
        <v>109895</v>
      </c>
      <c r="K48" s="557">
        <v>108921</v>
      </c>
      <c r="L48" s="557">
        <v>107956</v>
      </c>
      <c r="M48" s="558">
        <v>106999</v>
      </c>
    </row>
    <row r="49" spans="1:13" x14ac:dyDescent="0.3">
      <c r="B49" s="447" t="s">
        <v>292</v>
      </c>
      <c r="C49" s="557">
        <v>23946</v>
      </c>
      <c r="D49" s="557">
        <v>23920</v>
      </c>
      <c r="E49" s="557">
        <v>23894</v>
      </c>
      <c r="F49" s="557">
        <v>23868</v>
      </c>
      <c r="G49" s="557">
        <v>23842</v>
      </c>
      <c r="H49" s="557">
        <v>23816</v>
      </c>
      <c r="I49" s="557">
        <v>23790</v>
      </c>
      <c r="J49" s="557">
        <v>23764</v>
      </c>
      <c r="K49" s="557">
        <v>23738</v>
      </c>
      <c r="L49" s="557">
        <v>23712</v>
      </c>
      <c r="M49" s="558">
        <v>23686</v>
      </c>
    </row>
    <row r="50" spans="1:13" x14ac:dyDescent="0.3">
      <c r="B50" s="447" t="s">
        <v>293</v>
      </c>
      <c r="C50" s="557">
        <v>159114</v>
      </c>
      <c r="D50" s="557">
        <v>157857</v>
      </c>
      <c r="E50" s="557">
        <v>156610</v>
      </c>
      <c r="F50" s="557">
        <v>155373</v>
      </c>
      <c r="G50" s="557">
        <v>154145</v>
      </c>
      <c r="H50" s="557">
        <v>152927</v>
      </c>
      <c r="I50" s="557">
        <v>151719</v>
      </c>
      <c r="J50" s="557">
        <v>150520</v>
      </c>
      <c r="K50" s="557">
        <v>149331</v>
      </c>
      <c r="L50" s="557">
        <v>148151</v>
      </c>
      <c r="M50" s="558">
        <v>146981</v>
      </c>
    </row>
    <row r="51" spans="1:13" x14ac:dyDescent="0.3">
      <c r="B51" s="447" t="s">
        <v>294</v>
      </c>
      <c r="C51" s="557">
        <v>794762</v>
      </c>
      <c r="D51" s="557">
        <v>797915</v>
      </c>
      <c r="E51" s="557">
        <v>801081</v>
      </c>
      <c r="F51" s="557">
        <v>804259</v>
      </c>
      <c r="G51" s="557">
        <v>807450</v>
      </c>
      <c r="H51" s="557">
        <v>810654</v>
      </c>
      <c r="I51" s="557">
        <v>813870</v>
      </c>
      <c r="J51" s="557">
        <v>817099</v>
      </c>
      <c r="K51" s="557">
        <v>820341</v>
      </c>
      <c r="L51" s="557">
        <v>823596</v>
      </c>
      <c r="M51" s="558">
        <v>826864</v>
      </c>
    </row>
    <row r="52" spans="1:13" x14ac:dyDescent="0.3">
      <c r="B52" s="447" t="s">
        <v>295</v>
      </c>
      <c r="C52" s="557">
        <v>100599</v>
      </c>
      <c r="D52" s="557">
        <v>99709</v>
      </c>
      <c r="E52" s="557">
        <v>98827</v>
      </c>
      <c r="F52" s="557">
        <v>97953</v>
      </c>
      <c r="G52" s="557">
        <v>97087</v>
      </c>
      <c r="H52" s="557">
        <v>96228</v>
      </c>
      <c r="I52" s="557">
        <v>95377</v>
      </c>
      <c r="J52" s="557">
        <v>94534</v>
      </c>
      <c r="K52" s="557">
        <v>93698</v>
      </c>
      <c r="L52" s="557">
        <v>92869</v>
      </c>
      <c r="M52" s="558">
        <v>92048</v>
      </c>
    </row>
    <row r="53" spans="1:13" x14ac:dyDescent="0.3">
      <c r="B53" s="447" t="s">
        <v>296</v>
      </c>
      <c r="C53" s="557">
        <v>11914</v>
      </c>
      <c r="D53" s="557">
        <v>11664</v>
      </c>
      <c r="E53" s="557">
        <v>11419</v>
      </c>
      <c r="F53" s="557">
        <v>11179</v>
      </c>
      <c r="G53" s="557">
        <v>10944</v>
      </c>
      <c r="H53" s="557">
        <v>10714</v>
      </c>
      <c r="I53" s="557">
        <v>10489</v>
      </c>
      <c r="J53" s="557">
        <v>10269</v>
      </c>
      <c r="K53" s="557">
        <v>10053</v>
      </c>
      <c r="L53" s="557">
        <v>9842</v>
      </c>
      <c r="M53" s="558">
        <v>9635</v>
      </c>
    </row>
    <row r="54" spans="1:13" x14ac:dyDescent="0.3">
      <c r="B54" s="447" t="s">
        <v>297</v>
      </c>
      <c r="C54" s="557">
        <v>204816</v>
      </c>
      <c r="D54" s="557">
        <v>204456</v>
      </c>
      <c r="E54" s="557">
        <v>204097</v>
      </c>
      <c r="F54" s="557">
        <v>203738</v>
      </c>
      <c r="G54" s="557">
        <v>203380</v>
      </c>
      <c r="H54" s="557">
        <v>203023</v>
      </c>
      <c r="I54" s="557">
        <v>202666</v>
      </c>
      <c r="J54" s="557">
        <v>202310</v>
      </c>
      <c r="K54" s="557">
        <v>201955</v>
      </c>
      <c r="L54" s="557">
        <v>201600</v>
      </c>
      <c r="M54" s="558">
        <v>201246</v>
      </c>
    </row>
    <row r="55" spans="1:13" x14ac:dyDescent="0.3">
      <c r="B55" s="447" t="s">
        <v>298</v>
      </c>
      <c r="C55" s="557">
        <v>179824</v>
      </c>
      <c r="D55" s="557">
        <v>180502</v>
      </c>
      <c r="E55" s="557">
        <v>181182</v>
      </c>
      <c r="F55" s="557">
        <v>181865</v>
      </c>
      <c r="G55" s="557">
        <v>182550</v>
      </c>
      <c r="H55" s="557">
        <v>183238</v>
      </c>
      <c r="I55" s="557">
        <v>183928</v>
      </c>
      <c r="J55" s="557">
        <v>184621</v>
      </c>
      <c r="K55" s="557">
        <v>185317</v>
      </c>
      <c r="L55" s="557">
        <v>186015</v>
      </c>
      <c r="M55" s="558">
        <v>186716</v>
      </c>
    </row>
    <row r="56" spans="1:13" x14ac:dyDescent="0.3">
      <c r="B56" s="447" t="s">
        <v>299</v>
      </c>
      <c r="C56" s="557">
        <v>40502</v>
      </c>
      <c r="D56" s="557">
        <v>40167</v>
      </c>
      <c r="E56" s="557">
        <v>39835</v>
      </c>
      <c r="F56" s="557">
        <v>39506</v>
      </c>
      <c r="G56" s="557">
        <v>39180</v>
      </c>
      <c r="H56" s="557">
        <v>38856</v>
      </c>
      <c r="I56" s="557">
        <v>38535</v>
      </c>
      <c r="J56" s="557">
        <v>38217</v>
      </c>
      <c r="K56" s="557">
        <v>37901</v>
      </c>
      <c r="L56" s="557">
        <v>37588</v>
      </c>
      <c r="M56" s="558">
        <v>37277</v>
      </c>
    </row>
    <row r="57" spans="1:13" x14ac:dyDescent="0.3">
      <c r="B57" s="447" t="s">
        <v>300</v>
      </c>
      <c r="C57" s="557">
        <v>136461</v>
      </c>
      <c r="D57" s="557">
        <v>134583</v>
      </c>
      <c r="E57" s="557">
        <v>132731</v>
      </c>
      <c r="F57" s="557">
        <v>130904</v>
      </c>
      <c r="G57" s="557">
        <v>129103</v>
      </c>
      <c r="H57" s="557">
        <v>127326</v>
      </c>
      <c r="I57" s="557">
        <v>125574</v>
      </c>
      <c r="J57" s="557">
        <v>123846</v>
      </c>
      <c r="K57" s="557">
        <v>122142</v>
      </c>
      <c r="L57" s="557">
        <v>120461</v>
      </c>
      <c r="M57" s="558">
        <v>118803</v>
      </c>
    </row>
    <row r="58" spans="1:13" ht="15" thickBot="1" x14ac:dyDescent="0.35">
      <c r="B58" s="448" t="s">
        <v>301</v>
      </c>
      <c r="C58" s="559">
        <v>15250</v>
      </c>
      <c r="D58" s="559">
        <v>15060</v>
      </c>
      <c r="E58" s="559">
        <v>14872</v>
      </c>
      <c r="F58" s="559">
        <v>14686</v>
      </c>
      <c r="G58" s="559">
        <v>14503</v>
      </c>
      <c r="H58" s="559">
        <v>14322</v>
      </c>
      <c r="I58" s="559">
        <v>14143</v>
      </c>
      <c r="J58" s="559">
        <v>13966</v>
      </c>
      <c r="K58" s="559">
        <v>13792</v>
      </c>
      <c r="L58" s="559">
        <v>13620</v>
      </c>
      <c r="M58" s="560">
        <v>13450</v>
      </c>
    </row>
    <row r="59" spans="1:13" s="564" customFormat="1" ht="10.199999999999999" x14ac:dyDescent="0.2">
      <c r="B59" s="566" t="s">
        <v>818</v>
      </c>
      <c r="C59" s="570">
        <v>0</v>
      </c>
      <c r="D59" s="570">
        <v>1</v>
      </c>
      <c r="E59" s="570">
        <v>2</v>
      </c>
      <c r="F59" s="570">
        <v>3</v>
      </c>
      <c r="G59" s="570">
        <v>4</v>
      </c>
      <c r="H59" s="570">
        <v>5</v>
      </c>
      <c r="I59" s="570">
        <v>6</v>
      </c>
      <c r="J59" s="570">
        <v>7</v>
      </c>
      <c r="K59" s="570">
        <v>8</v>
      </c>
      <c r="L59" s="570">
        <v>9</v>
      </c>
      <c r="M59" s="570">
        <v>10</v>
      </c>
    </row>
    <row r="60" spans="1:13" s="564" customFormat="1" ht="10.199999999999999" x14ac:dyDescent="0.2">
      <c r="B60" s="566" t="s">
        <v>818</v>
      </c>
      <c r="C60" s="565">
        <v>2</v>
      </c>
      <c r="D60" s="565">
        <v>3</v>
      </c>
      <c r="E60" s="565">
        <v>4</v>
      </c>
      <c r="F60" s="565">
        <v>5</v>
      </c>
      <c r="G60" s="565">
        <v>6</v>
      </c>
      <c r="H60" s="565">
        <v>7</v>
      </c>
      <c r="I60" s="565">
        <v>8</v>
      </c>
      <c r="J60" s="565">
        <v>9</v>
      </c>
      <c r="K60" s="565">
        <v>10</v>
      </c>
      <c r="L60" s="565">
        <v>11</v>
      </c>
      <c r="M60" s="565">
        <v>12</v>
      </c>
    </row>
    <row r="62" spans="1:13" ht="18" x14ac:dyDescent="0.35">
      <c r="A62" s="17" t="s">
        <v>348</v>
      </c>
    </row>
    <row r="63" spans="1:13" ht="15.6" x14ac:dyDescent="0.3">
      <c r="A63" s="236" t="s">
        <v>817</v>
      </c>
    </row>
    <row r="64" spans="1:13" x14ac:dyDescent="0.3">
      <c r="A64" s="573" t="s">
        <v>1083</v>
      </c>
    </row>
    <row r="66" spans="2:12" ht="15" thickBot="1" x14ac:dyDescent="0.35">
      <c r="C66" s="234" t="s">
        <v>251</v>
      </c>
      <c r="D66" s="235"/>
      <c r="E66" s="235"/>
      <c r="F66" s="235"/>
      <c r="G66" s="235"/>
      <c r="H66" s="235"/>
      <c r="I66" s="235"/>
      <c r="J66" s="235"/>
      <c r="K66" s="235"/>
      <c r="L66" s="449"/>
    </row>
    <row r="67" spans="2:12" ht="15.6" x14ac:dyDescent="0.3">
      <c r="B67" s="231" t="s">
        <v>250</v>
      </c>
      <c r="C67" s="568">
        <v>1</v>
      </c>
      <c r="D67" s="568">
        <v>1.25</v>
      </c>
      <c r="E67" s="568">
        <v>1.5</v>
      </c>
      <c r="F67" s="568">
        <v>1.75</v>
      </c>
      <c r="G67" s="568">
        <v>1.85</v>
      </c>
      <c r="H67" s="568">
        <v>2</v>
      </c>
      <c r="I67" s="568">
        <v>3</v>
      </c>
      <c r="J67" s="568">
        <v>4</v>
      </c>
      <c r="K67" s="568">
        <v>5</v>
      </c>
      <c r="L67" s="654">
        <v>5.01</v>
      </c>
    </row>
    <row r="68" spans="2:12" x14ac:dyDescent="0.3">
      <c r="B68" s="447" t="s">
        <v>252</v>
      </c>
      <c r="C68" s="378">
        <v>0.31089714874459651</v>
      </c>
      <c r="D68" s="378">
        <v>0.37792292875221178</v>
      </c>
      <c r="E68" s="378">
        <v>0.44485351759356728</v>
      </c>
      <c r="F68" s="378">
        <v>0.50132427710708438</v>
      </c>
      <c r="G68" s="378">
        <v>0.52258830380540677</v>
      </c>
      <c r="H68" s="378">
        <v>0.55159921159316405</v>
      </c>
      <c r="I68" s="378">
        <v>0.70760073465182427</v>
      </c>
      <c r="J68" s="378">
        <v>0.81944475552668705</v>
      </c>
      <c r="K68" s="378">
        <v>0.89278954912984065</v>
      </c>
      <c r="L68" s="561">
        <v>0.99999999999999989</v>
      </c>
    </row>
    <row r="69" spans="2:12" x14ac:dyDescent="0.3">
      <c r="B69" s="447" t="s">
        <v>253</v>
      </c>
      <c r="C69" s="378">
        <v>0.15858933824107718</v>
      </c>
      <c r="D69" s="378">
        <v>0.21732496500086515</v>
      </c>
      <c r="E69" s="378">
        <v>0.27477073600427854</v>
      </c>
      <c r="F69" s="378">
        <v>0.33017161373539078</v>
      </c>
      <c r="G69" s="378">
        <v>0.35566985984616106</v>
      </c>
      <c r="H69" s="378">
        <v>0.39040158557878341</v>
      </c>
      <c r="I69" s="378">
        <v>0.57643968351344121</v>
      </c>
      <c r="J69" s="378">
        <v>0.73109653469240077</v>
      </c>
      <c r="K69" s="378">
        <v>0.84114325263869871</v>
      </c>
      <c r="L69" s="561">
        <v>0.99999999999999989</v>
      </c>
    </row>
    <row r="70" spans="2:12" x14ac:dyDescent="0.3">
      <c r="B70" s="447" t="s">
        <v>254</v>
      </c>
      <c r="C70" s="378">
        <v>0.28097335517675981</v>
      </c>
      <c r="D70" s="378">
        <v>0.35594581469745157</v>
      </c>
      <c r="E70" s="378">
        <v>0.42764364981737313</v>
      </c>
      <c r="F70" s="378">
        <v>0.48838386987666782</v>
      </c>
      <c r="G70" s="378">
        <v>0.50939399608103231</v>
      </c>
      <c r="H70" s="378">
        <v>0.54499915914145514</v>
      </c>
      <c r="I70" s="378">
        <v>0.70780637956543679</v>
      </c>
      <c r="J70" s="378">
        <v>0.82032459029403604</v>
      </c>
      <c r="K70" s="378">
        <v>0.89000058576662688</v>
      </c>
      <c r="L70" s="561">
        <v>1</v>
      </c>
    </row>
    <row r="71" spans="2:12" x14ac:dyDescent="0.3">
      <c r="B71" s="447" t="s">
        <v>255</v>
      </c>
      <c r="C71" s="378">
        <v>0.31766081770397286</v>
      </c>
      <c r="D71" s="378">
        <v>0.39401955791854032</v>
      </c>
      <c r="E71" s="378">
        <v>0.47356746446172571</v>
      </c>
      <c r="F71" s="378">
        <v>0.53643158612475295</v>
      </c>
      <c r="G71" s="378">
        <v>0.55823788850432843</v>
      </c>
      <c r="H71" s="378">
        <v>0.59101854808779486</v>
      </c>
      <c r="I71" s="378">
        <v>0.75345025504699592</v>
      </c>
      <c r="J71" s="378">
        <v>0.8571046340010875</v>
      </c>
      <c r="K71" s="378">
        <v>0.91777647353294034</v>
      </c>
      <c r="L71" s="561">
        <v>1</v>
      </c>
    </row>
    <row r="72" spans="2:12" x14ac:dyDescent="0.3">
      <c r="B72" s="447" t="s">
        <v>256</v>
      </c>
      <c r="C72" s="378">
        <v>0.23695499604935066</v>
      </c>
      <c r="D72" s="378">
        <v>0.30525707320108303</v>
      </c>
      <c r="E72" s="378">
        <v>0.36863806632942864</v>
      </c>
      <c r="F72" s="378">
        <v>0.42520995978433002</v>
      </c>
      <c r="G72" s="378">
        <v>0.44564863239291602</v>
      </c>
      <c r="H72" s="378">
        <v>0.47518383398307745</v>
      </c>
      <c r="I72" s="378">
        <v>0.62990243468382423</v>
      </c>
      <c r="J72" s="378">
        <v>0.7342276764896557</v>
      </c>
      <c r="K72" s="378">
        <v>0.80744280924953715</v>
      </c>
      <c r="L72" s="561">
        <v>1</v>
      </c>
    </row>
    <row r="73" spans="2:12" x14ac:dyDescent="0.3">
      <c r="B73" s="447" t="s">
        <v>257</v>
      </c>
      <c r="C73" s="378">
        <v>0.20502937720329026</v>
      </c>
      <c r="D73" s="378">
        <v>0.26199022821448453</v>
      </c>
      <c r="E73" s="378">
        <v>0.31466633681736661</v>
      </c>
      <c r="F73" s="378">
        <v>0.37290370461995181</v>
      </c>
      <c r="G73" s="378">
        <v>0.395999752613025</v>
      </c>
      <c r="H73" s="378">
        <v>0.42392974209907858</v>
      </c>
      <c r="I73" s="378">
        <v>0.59445111014905072</v>
      </c>
      <c r="J73" s="378">
        <v>0.72217700538066676</v>
      </c>
      <c r="K73" s="378">
        <v>0.81551858494650264</v>
      </c>
      <c r="L73" s="561">
        <v>1</v>
      </c>
    </row>
    <row r="74" spans="2:12" x14ac:dyDescent="0.3">
      <c r="B74" s="447" t="s">
        <v>258</v>
      </c>
      <c r="C74" s="378">
        <v>0.16346673193126962</v>
      </c>
      <c r="D74" s="378">
        <v>0.20511933295074775</v>
      </c>
      <c r="E74" s="378">
        <v>0.24705465347871589</v>
      </c>
      <c r="F74" s="378">
        <v>0.28636532424129901</v>
      </c>
      <c r="G74" s="378">
        <v>0.30256051041420517</v>
      </c>
      <c r="H74" s="378">
        <v>0.32607264625459947</v>
      </c>
      <c r="I74" s="378">
        <v>0.46273588090335216</v>
      </c>
      <c r="J74" s="378">
        <v>0.59034365189211091</v>
      </c>
      <c r="K74" s="378">
        <v>0.69197498565303994</v>
      </c>
      <c r="L74" s="561">
        <v>1</v>
      </c>
    </row>
    <row r="75" spans="2:12" x14ac:dyDescent="0.3">
      <c r="B75" s="447" t="s">
        <v>259</v>
      </c>
      <c r="C75" s="378">
        <v>0.20486489761298921</v>
      </c>
      <c r="D75" s="378">
        <v>0.2612989216042651</v>
      </c>
      <c r="E75" s="378">
        <v>0.32108021325578573</v>
      </c>
      <c r="F75" s="378">
        <v>0.38199745547073788</v>
      </c>
      <c r="G75" s="378">
        <v>0.40039985459832783</v>
      </c>
      <c r="H75" s="378">
        <v>0.42349751605476793</v>
      </c>
      <c r="I75" s="378">
        <v>0.58557494244517139</v>
      </c>
      <c r="J75" s="378">
        <v>0.71034775233248504</v>
      </c>
      <c r="K75" s="378">
        <v>0.82068641706046275</v>
      </c>
      <c r="L75" s="561">
        <v>0.99999999999999989</v>
      </c>
    </row>
    <row r="76" spans="2:12" x14ac:dyDescent="0.3">
      <c r="B76" s="447" t="s">
        <v>1081</v>
      </c>
      <c r="C76" s="378">
        <v>0.26146244120302181</v>
      </c>
      <c r="D76" s="378">
        <v>0.30952154701382617</v>
      </c>
      <c r="E76" s="378">
        <v>0.3509288734736542</v>
      </c>
      <c r="F76" s="378">
        <v>0.39967691357438118</v>
      </c>
      <c r="G76" s="378">
        <v>0.41262412695396022</v>
      </c>
      <c r="H76" s="378">
        <v>0.43512139497315538</v>
      </c>
      <c r="I76" s="378">
        <v>0.5554710885161781</v>
      </c>
      <c r="J76" s="378">
        <v>0.62750035634532242</v>
      </c>
      <c r="K76" s="378">
        <v>0.66838504299900225</v>
      </c>
      <c r="L76" s="561">
        <v>1</v>
      </c>
    </row>
    <row r="77" spans="2:12" x14ac:dyDescent="0.3">
      <c r="B77" s="447" t="s">
        <v>260</v>
      </c>
      <c r="C77" s="378">
        <v>0.26545708150971165</v>
      </c>
      <c r="D77" s="378">
        <v>0.33665069698369898</v>
      </c>
      <c r="E77" s="378">
        <v>0.40371395151983946</v>
      </c>
      <c r="F77" s="378">
        <v>0.46640208298848285</v>
      </c>
      <c r="G77" s="378">
        <v>0.49010792284030763</v>
      </c>
      <c r="H77" s="378">
        <v>0.52149239001590175</v>
      </c>
      <c r="I77" s="378">
        <v>0.69043945000694285</v>
      </c>
      <c r="J77" s="378">
        <v>0.80058397733753728</v>
      </c>
      <c r="K77" s="378">
        <v>0.87115156659530402</v>
      </c>
      <c r="L77" s="561">
        <v>1.0000000000000002</v>
      </c>
    </row>
    <row r="78" spans="2:12" x14ac:dyDescent="0.3">
      <c r="B78" s="447" t="s">
        <v>261</v>
      </c>
      <c r="C78" s="378">
        <v>0.28777039897549966</v>
      </c>
      <c r="D78" s="378">
        <v>0.35997958925859963</v>
      </c>
      <c r="E78" s="378">
        <v>0.42392911726020477</v>
      </c>
      <c r="F78" s="378">
        <v>0.48282054648273881</v>
      </c>
      <c r="G78" s="378">
        <v>0.50390751754357721</v>
      </c>
      <c r="H78" s="378">
        <v>0.53015662271586717</v>
      </c>
      <c r="I78" s="378">
        <v>0.68894426430919309</v>
      </c>
      <c r="J78" s="378">
        <v>0.79663321848162916</v>
      </c>
      <c r="K78" s="378">
        <v>0.8669251862108599</v>
      </c>
      <c r="L78" s="561">
        <v>1</v>
      </c>
    </row>
    <row r="79" spans="2:12" x14ac:dyDescent="0.3">
      <c r="B79" s="447" t="s">
        <v>262</v>
      </c>
      <c r="C79" s="378">
        <v>0.15793847917462744</v>
      </c>
      <c r="D79" s="378">
        <v>0.21379442109285443</v>
      </c>
      <c r="E79" s="378">
        <v>0.261559037065342</v>
      </c>
      <c r="F79" s="378">
        <v>0.30652464654184181</v>
      </c>
      <c r="G79" s="378">
        <v>0.3242548719908292</v>
      </c>
      <c r="H79" s="378">
        <v>0.35423194497516242</v>
      </c>
      <c r="I79" s="378">
        <v>0.54571073748567067</v>
      </c>
      <c r="J79" s="378">
        <v>0.70360145204432567</v>
      </c>
      <c r="K79" s="378">
        <v>0.8190962934658006</v>
      </c>
      <c r="L79" s="561">
        <v>1</v>
      </c>
    </row>
    <row r="80" spans="2:12" x14ac:dyDescent="0.3">
      <c r="B80" s="447" t="s">
        <v>263</v>
      </c>
      <c r="C80" s="378">
        <v>0.22107430681293713</v>
      </c>
      <c r="D80" s="378">
        <v>0.30231831575957679</v>
      </c>
      <c r="E80" s="378">
        <v>0.39174921006851987</v>
      </c>
      <c r="F80" s="378">
        <v>0.47829729825682532</v>
      </c>
      <c r="G80" s="378">
        <v>0.50843895338516698</v>
      </c>
      <c r="H80" s="378">
        <v>0.54735683601377494</v>
      </c>
      <c r="I80" s="378">
        <v>0.76120992650974539</v>
      </c>
      <c r="J80" s="378">
        <v>0.8729435154613554</v>
      </c>
      <c r="K80" s="378">
        <v>0.93127418610430635</v>
      </c>
      <c r="L80" s="561">
        <v>0.99999999999999989</v>
      </c>
    </row>
    <row r="81" spans="2:12" x14ac:dyDescent="0.3">
      <c r="B81" s="447" t="s">
        <v>264</v>
      </c>
      <c r="C81" s="378">
        <v>0.22246103140911574</v>
      </c>
      <c r="D81" s="378">
        <v>0.28028413270484964</v>
      </c>
      <c r="E81" s="378">
        <v>0.33937810526142753</v>
      </c>
      <c r="F81" s="378">
        <v>0.39183416414273209</v>
      </c>
      <c r="G81" s="378">
        <v>0.41000957519818193</v>
      </c>
      <c r="H81" s="378">
        <v>0.43559651840862668</v>
      </c>
      <c r="I81" s="378">
        <v>0.59734750572251649</v>
      </c>
      <c r="J81" s="378">
        <v>0.71925868240341584</v>
      </c>
      <c r="K81" s="378">
        <v>0.80764330948437768</v>
      </c>
      <c r="L81" s="561">
        <v>1</v>
      </c>
    </row>
    <row r="82" spans="2:12" x14ac:dyDescent="0.3">
      <c r="B82" s="447" t="s">
        <v>265</v>
      </c>
      <c r="C82" s="378">
        <v>0.25894714447806355</v>
      </c>
      <c r="D82" s="378">
        <v>0.324876686207766</v>
      </c>
      <c r="E82" s="378">
        <v>0.38797749621785171</v>
      </c>
      <c r="F82" s="378">
        <v>0.44787923915784161</v>
      </c>
      <c r="G82" s="378">
        <v>0.46974872352496211</v>
      </c>
      <c r="H82" s="378">
        <v>0.50382548537569338</v>
      </c>
      <c r="I82" s="378">
        <v>0.68556952849218356</v>
      </c>
      <c r="J82" s="378">
        <v>0.81455457324760461</v>
      </c>
      <c r="K82" s="378">
        <v>0.89775789523449312</v>
      </c>
      <c r="L82" s="561">
        <v>0.99999999999999989</v>
      </c>
    </row>
    <row r="83" spans="2:12" x14ac:dyDescent="0.3">
      <c r="B83" s="447" t="s">
        <v>266</v>
      </c>
      <c r="C83" s="378">
        <v>0.18984532444452004</v>
      </c>
      <c r="D83" s="378">
        <v>0.24777000195576571</v>
      </c>
      <c r="E83" s="378">
        <v>0.30674484060509694</v>
      </c>
      <c r="F83" s="378">
        <v>0.36168484961862574</v>
      </c>
      <c r="G83" s="378">
        <v>0.38270507903844359</v>
      </c>
      <c r="H83" s="378">
        <v>0.42023452181529075</v>
      </c>
      <c r="I83" s="378">
        <v>0.62415285584306268</v>
      </c>
      <c r="J83" s="378">
        <v>0.78815231163000332</v>
      </c>
      <c r="K83" s="378">
        <v>0.88268382071581042</v>
      </c>
      <c r="L83" s="561">
        <v>1.0000000000000002</v>
      </c>
    </row>
    <row r="84" spans="2:12" x14ac:dyDescent="0.3">
      <c r="B84" s="447" t="s">
        <v>267</v>
      </c>
      <c r="C84" s="378">
        <v>0.22444919803900351</v>
      </c>
      <c r="D84" s="378">
        <v>0.29586825699374908</v>
      </c>
      <c r="E84" s="378">
        <v>0.35844784964583865</v>
      </c>
      <c r="F84" s="378">
        <v>0.420652888641036</v>
      </c>
      <c r="G84" s="378">
        <v>0.44390434731944423</v>
      </c>
      <c r="H84" s="378">
        <v>0.47716887375877071</v>
      </c>
      <c r="I84" s="378">
        <v>0.66907768242843935</v>
      </c>
      <c r="J84" s="378">
        <v>0.79335874749257129</v>
      </c>
      <c r="K84" s="378">
        <v>0.87841988297279072</v>
      </c>
      <c r="L84" s="561">
        <v>1</v>
      </c>
    </row>
    <row r="85" spans="2:12" x14ac:dyDescent="0.3">
      <c r="B85" s="447" t="s">
        <v>268</v>
      </c>
      <c r="C85" s="378">
        <v>0.30233428921076183</v>
      </c>
      <c r="D85" s="378">
        <v>0.36599146407544736</v>
      </c>
      <c r="E85" s="378">
        <v>0.42599255998587493</v>
      </c>
      <c r="F85" s="378">
        <v>0.47977132002411005</v>
      </c>
      <c r="G85" s="378">
        <v>0.50019482852046004</v>
      </c>
      <c r="H85" s="378">
        <v>0.53118169586050279</v>
      </c>
      <c r="I85" s="378">
        <v>0.69555608321613183</v>
      </c>
      <c r="J85" s="378">
        <v>0.81968316011860187</v>
      </c>
      <c r="K85" s="378">
        <v>0.89480173153847564</v>
      </c>
      <c r="L85" s="561">
        <v>1</v>
      </c>
    </row>
    <row r="86" spans="2:12" x14ac:dyDescent="0.3">
      <c r="B86" s="447" t="s">
        <v>269</v>
      </c>
      <c r="C86" s="378">
        <v>0.30394483487678459</v>
      </c>
      <c r="D86" s="378">
        <v>0.36996445657391575</v>
      </c>
      <c r="E86" s="378">
        <v>0.42894011552961858</v>
      </c>
      <c r="F86" s="378">
        <v>0.48306158882890071</v>
      </c>
      <c r="G86" s="378">
        <v>0.50217359646615278</v>
      </c>
      <c r="H86" s="378">
        <v>0.52986402886622397</v>
      </c>
      <c r="I86" s="378">
        <v>0.68359878537487795</v>
      </c>
      <c r="J86" s="378">
        <v>0.79889378502429786</v>
      </c>
      <c r="K86" s="378">
        <v>0.87937348643794455</v>
      </c>
      <c r="L86" s="561">
        <v>0.99999999999999989</v>
      </c>
    </row>
    <row r="87" spans="2:12" x14ac:dyDescent="0.3">
      <c r="B87" s="447" t="s">
        <v>270</v>
      </c>
      <c r="C87" s="378">
        <v>0.22403583168142926</v>
      </c>
      <c r="D87" s="378">
        <v>0.28167264697764283</v>
      </c>
      <c r="E87" s="378">
        <v>0.35083933455448774</v>
      </c>
      <c r="F87" s="378">
        <v>0.40965548390334477</v>
      </c>
      <c r="G87" s="378">
        <v>0.43051965974957968</v>
      </c>
      <c r="H87" s="378">
        <v>0.46505909216370156</v>
      </c>
      <c r="I87" s="378">
        <v>0.64677690512633923</v>
      </c>
      <c r="J87" s="378">
        <v>0.78922540335733815</v>
      </c>
      <c r="K87" s="378">
        <v>0.87787619501668623</v>
      </c>
      <c r="L87" s="561">
        <v>0.99999999999999989</v>
      </c>
    </row>
    <row r="88" spans="2:12" x14ac:dyDescent="0.3">
      <c r="B88" s="447" t="s">
        <v>271</v>
      </c>
      <c r="C88" s="378">
        <v>0.15131674267460554</v>
      </c>
      <c r="D88" s="378">
        <v>0.19437794228916136</v>
      </c>
      <c r="E88" s="378">
        <v>0.23673310749431381</v>
      </c>
      <c r="F88" s="378">
        <v>0.28287832060401591</v>
      </c>
      <c r="G88" s="378">
        <v>0.30165377636417579</v>
      </c>
      <c r="H88" s="378">
        <v>0.32897523820037122</v>
      </c>
      <c r="I88" s="378">
        <v>0.48938763588862599</v>
      </c>
      <c r="J88" s="378">
        <v>0.61874141892218215</v>
      </c>
      <c r="K88" s="378">
        <v>0.72335410040407244</v>
      </c>
      <c r="L88" s="561">
        <v>1</v>
      </c>
    </row>
    <row r="89" spans="2:12" x14ac:dyDescent="0.3">
      <c r="B89" s="447" t="s">
        <v>272</v>
      </c>
      <c r="C89" s="378">
        <v>0.16754720427407019</v>
      </c>
      <c r="D89" s="378">
        <v>0.20751615333683418</v>
      </c>
      <c r="E89" s="378">
        <v>0.24247357245599216</v>
      </c>
      <c r="F89" s="378">
        <v>0.28117765245781867</v>
      </c>
      <c r="G89" s="378">
        <v>0.2974131829493824</v>
      </c>
      <c r="H89" s="378">
        <v>0.31908719377154732</v>
      </c>
      <c r="I89" s="378">
        <v>0.45326833945980505</v>
      </c>
      <c r="J89" s="378">
        <v>0.57416151053677034</v>
      </c>
      <c r="K89" s="378">
        <v>0.67847439439256618</v>
      </c>
      <c r="L89" s="561">
        <v>1.0000000000000002</v>
      </c>
    </row>
    <row r="90" spans="2:12" x14ac:dyDescent="0.3">
      <c r="B90" s="447" t="s">
        <v>273</v>
      </c>
      <c r="C90" s="378">
        <v>0.27935325707959197</v>
      </c>
      <c r="D90" s="378">
        <v>0.33820427471476744</v>
      </c>
      <c r="E90" s="378">
        <v>0.39501642738520604</v>
      </c>
      <c r="F90" s="378">
        <v>0.45079333127242144</v>
      </c>
      <c r="G90" s="378">
        <v>0.47099937453719348</v>
      </c>
      <c r="H90" s="378">
        <v>0.499310553067284</v>
      </c>
      <c r="I90" s="378">
        <v>0.66403301293342065</v>
      </c>
      <c r="J90" s="378">
        <v>0.7879336002933206</v>
      </c>
      <c r="K90" s="378">
        <v>0.86630624671991496</v>
      </c>
      <c r="L90" s="561">
        <v>1</v>
      </c>
    </row>
    <row r="91" spans="2:12" x14ac:dyDescent="0.3">
      <c r="B91" s="447" t="s">
        <v>274</v>
      </c>
      <c r="C91" s="378">
        <v>0.16924640062259502</v>
      </c>
      <c r="D91" s="378">
        <v>0.2202718088402727</v>
      </c>
      <c r="E91" s="378">
        <v>0.27124677533255509</v>
      </c>
      <c r="F91" s="378">
        <v>0.32154197952546348</v>
      </c>
      <c r="G91" s="378">
        <v>0.34204293791824597</v>
      </c>
      <c r="H91" s="378">
        <v>0.3711526174451506</v>
      </c>
      <c r="I91" s="378">
        <v>0.54441994417782391</v>
      </c>
      <c r="J91" s="378">
        <v>0.69810867549637057</v>
      </c>
      <c r="K91" s="378">
        <v>0.80198500199364908</v>
      </c>
      <c r="L91" s="561">
        <v>1</v>
      </c>
    </row>
    <row r="92" spans="2:12" x14ac:dyDescent="0.3">
      <c r="B92" s="447" t="s">
        <v>275</v>
      </c>
      <c r="C92" s="378">
        <v>0.36516375747856661</v>
      </c>
      <c r="D92" s="378">
        <v>0.44348362425214338</v>
      </c>
      <c r="E92" s="378">
        <v>0.50557782849153976</v>
      </c>
      <c r="F92" s="378">
        <v>0.56312424186352517</v>
      </c>
      <c r="G92" s="378">
        <v>0.58376200168588999</v>
      </c>
      <c r="H92" s="378">
        <v>0.61310882213861306</v>
      </c>
      <c r="I92" s="378">
        <v>0.76921400522214689</v>
      </c>
      <c r="J92" s="378">
        <v>0.86417895104751341</v>
      </c>
      <c r="K92" s="378">
        <v>0.9250272415140115</v>
      </c>
      <c r="L92" s="561">
        <v>1</v>
      </c>
    </row>
    <row r="93" spans="2:12" x14ac:dyDescent="0.3">
      <c r="B93" s="447" t="s">
        <v>276</v>
      </c>
      <c r="C93" s="378">
        <v>0.2567228547325946</v>
      </c>
      <c r="D93" s="378">
        <v>0.31998123393486061</v>
      </c>
      <c r="E93" s="378">
        <v>0.38318675098180444</v>
      </c>
      <c r="F93" s="378">
        <v>0.44357956084764472</v>
      </c>
      <c r="G93" s="378">
        <v>0.46697106457773058</v>
      </c>
      <c r="H93" s="378">
        <v>0.50030285609820035</v>
      </c>
      <c r="I93" s="378">
        <v>0.67580961694760711</v>
      </c>
      <c r="J93" s="378">
        <v>0.80258187576952988</v>
      </c>
      <c r="K93" s="378">
        <v>0.88048747717566322</v>
      </c>
      <c r="L93" s="561">
        <v>1</v>
      </c>
    </row>
    <row r="94" spans="2:12" x14ac:dyDescent="0.3">
      <c r="B94" s="447" t="s">
        <v>277</v>
      </c>
      <c r="C94" s="378">
        <v>0.2307292876566322</v>
      </c>
      <c r="D94" s="378">
        <v>0.30337109358986625</v>
      </c>
      <c r="E94" s="378">
        <v>0.37490605485030271</v>
      </c>
      <c r="F94" s="378">
        <v>0.44101611073912628</v>
      </c>
      <c r="G94" s="378">
        <v>0.45935420396004428</v>
      </c>
      <c r="H94" s="378">
        <v>0.49783413727606896</v>
      </c>
      <c r="I94" s="378">
        <v>0.67443735395799465</v>
      </c>
      <c r="J94" s="378">
        <v>0.8209371284896354</v>
      </c>
      <c r="K94" s="378">
        <v>0.90151815361910892</v>
      </c>
      <c r="L94" s="561">
        <v>1.0000000000000002</v>
      </c>
    </row>
    <row r="95" spans="2:12" x14ac:dyDescent="0.3">
      <c r="B95" s="447" t="s">
        <v>278</v>
      </c>
      <c r="C95" s="378">
        <v>0.20833007837929329</v>
      </c>
      <c r="D95" s="378">
        <v>0.27115720126031823</v>
      </c>
      <c r="E95" s="378">
        <v>0.33398432414134316</v>
      </c>
      <c r="F95" s="378">
        <v>0.3973452594849361</v>
      </c>
      <c r="G95" s="378">
        <v>0.41941384787646802</v>
      </c>
      <c r="H95" s="378">
        <v>0.44971096008124367</v>
      </c>
      <c r="I95" s="378">
        <v>0.64146681248860771</v>
      </c>
      <c r="J95" s="378">
        <v>0.78462620107804082</v>
      </c>
      <c r="K95" s="378">
        <v>0.880386948936281</v>
      </c>
      <c r="L95" s="561">
        <v>1</v>
      </c>
    </row>
    <row r="96" spans="2:12" x14ac:dyDescent="0.3">
      <c r="B96" s="447" t="s">
        <v>279</v>
      </c>
      <c r="C96" s="378">
        <v>0.24166834060736656</v>
      </c>
      <c r="D96" s="378">
        <v>0.31043534632311315</v>
      </c>
      <c r="E96" s="378">
        <v>0.3804715034422308</v>
      </c>
      <c r="F96" s="378">
        <v>0.4464034623180731</v>
      </c>
      <c r="G96" s="378">
        <v>0.46884644181077778</v>
      </c>
      <c r="H96" s="378">
        <v>0.50179416007742739</v>
      </c>
      <c r="I96" s="378">
        <v>0.69168294954438381</v>
      </c>
      <c r="J96" s="378">
        <v>0.81541151549460389</v>
      </c>
      <c r="K96" s="378">
        <v>0.88530158324354935</v>
      </c>
      <c r="L96" s="561">
        <v>1</v>
      </c>
    </row>
    <row r="97" spans="2:12" x14ac:dyDescent="0.3">
      <c r="B97" s="447" t="s">
        <v>280</v>
      </c>
      <c r="C97" s="378">
        <v>0.13833170405751549</v>
      </c>
      <c r="D97" s="378">
        <v>0.17989679878237411</v>
      </c>
      <c r="E97" s="378">
        <v>0.22638684370088968</v>
      </c>
      <c r="F97" s="378">
        <v>0.27724499771076433</v>
      </c>
      <c r="G97" s="378">
        <v>0.29258906364075082</v>
      </c>
      <c r="H97" s="378">
        <v>0.31899570613638889</v>
      </c>
      <c r="I97" s="378">
        <v>0.48770618588593417</v>
      </c>
      <c r="J97" s="378">
        <v>0.65290237956764385</v>
      </c>
      <c r="K97" s="378">
        <v>0.77543217056661673</v>
      </c>
      <c r="L97" s="561">
        <v>1</v>
      </c>
    </row>
    <row r="98" spans="2:12" x14ac:dyDescent="0.3">
      <c r="B98" s="447" t="s">
        <v>281</v>
      </c>
      <c r="C98" s="378">
        <v>0.17679579430556416</v>
      </c>
      <c r="D98" s="378">
        <v>0.22241796414614479</v>
      </c>
      <c r="E98" s="378">
        <v>0.26233639352397498</v>
      </c>
      <c r="F98" s="378">
        <v>0.30482445257738355</v>
      </c>
      <c r="G98" s="378">
        <v>0.31931797034923393</v>
      </c>
      <c r="H98" s="378">
        <v>0.34141337386018239</v>
      </c>
      <c r="I98" s="378">
        <v>0.47549159481421749</v>
      </c>
      <c r="J98" s="378">
        <v>0.59170181750511752</v>
      </c>
      <c r="K98" s="378">
        <v>0.68836765709323244</v>
      </c>
      <c r="L98" s="561">
        <v>1</v>
      </c>
    </row>
    <row r="99" spans="2:12" x14ac:dyDescent="0.3">
      <c r="B99" s="447" t="s">
        <v>282</v>
      </c>
      <c r="C99" s="378">
        <v>0.32808959282494099</v>
      </c>
      <c r="D99" s="378">
        <v>0.40461679746201373</v>
      </c>
      <c r="E99" s="378">
        <v>0.47566371681415931</v>
      </c>
      <c r="F99" s="378">
        <v>0.53899410824607019</v>
      </c>
      <c r="G99" s="378">
        <v>0.56129093814851039</v>
      </c>
      <c r="H99" s="378">
        <v>0.59138778236290346</v>
      </c>
      <c r="I99" s="378">
        <v>0.75602294683109517</v>
      </c>
      <c r="J99" s="378">
        <v>0.85921212699472849</v>
      </c>
      <c r="K99" s="378">
        <v>0.9239796770269304</v>
      </c>
      <c r="L99" s="561">
        <v>1</v>
      </c>
    </row>
    <row r="100" spans="2:12" x14ac:dyDescent="0.3">
      <c r="B100" s="447" t="s">
        <v>283</v>
      </c>
      <c r="C100" s="378">
        <v>0.23860237815920951</v>
      </c>
      <c r="D100" s="378">
        <v>0.29415684141308884</v>
      </c>
      <c r="E100" s="378">
        <v>0.34732207680045907</v>
      </c>
      <c r="F100" s="378">
        <v>0.39527120758319517</v>
      </c>
      <c r="G100" s="378">
        <v>0.41145766202292816</v>
      </c>
      <c r="H100" s="378">
        <v>0.43762921018578599</v>
      </c>
      <c r="I100" s="378">
        <v>0.5821297989363895</v>
      </c>
      <c r="J100" s="378">
        <v>0.69308070580165115</v>
      </c>
      <c r="K100" s="378">
        <v>0.7772097809061298</v>
      </c>
      <c r="L100" s="561">
        <v>1</v>
      </c>
    </row>
    <row r="101" spans="2:12" x14ac:dyDescent="0.3">
      <c r="B101" s="447" t="s">
        <v>284</v>
      </c>
      <c r="C101" s="378">
        <v>0.28863344040620348</v>
      </c>
      <c r="D101" s="378">
        <v>0.3579937641837882</v>
      </c>
      <c r="E101" s="378">
        <v>0.42366916503363705</v>
      </c>
      <c r="F101" s="378">
        <v>0.48069119241466157</v>
      </c>
      <c r="G101" s="378">
        <v>0.50238186630032933</v>
      </c>
      <c r="H101" s="378">
        <v>0.53195418089254332</v>
      </c>
      <c r="I101" s="378">
        <v>0.68847586146521478</v>
      </c>
      <c r="J101" s="378">
        <v>0.79867202704431739</v>
      </c>
      <c r="K101" s="378">
        <v>0.86769968416870369</v>
      </c>
      <c r="L101" s="561">
        <v>1</v>
      </c>
    </row>
    <row r="102" spans="2:12" x14ac:dyDescent="0.3">
      <c r="B102" s="447" t="s">
        <v>285</v>
      </c>
      <c r="C102" s="378">
        <v>0.1720852641334569</v>
      </c>
      <c r="D102" s="378">
        <v>0.22174235403151066</v>
      </c>
      <c r="E102" s="378">
        <v>0.27280815569972194</v>
      </c>
      <c r="F102" s="378">
        <v>0.31809082483781276</v>
      </c>
      <c r="G102" s="378">
        <v>0.33777571825764596</v>
      </c>
      <c r="H102" s="378">
        <v>0.36817423540315108</v>
      </c>
      <c r="I102" s="378">
        <v>0.55386468952734014</v>
      </c>
      <c r="J102" s="378">
        <v>0.72630213160333645</v>
      </c>
      <c r="K102" s="378">
        <v>0.85110287303058385</v>
      </c>
      <c r="L102" s="561">
        <v>1</v>
      </c>
    </row>
    <row r="103" spans="2:12" x14ac:dyDescent="0.3">
      <c r="B103" s="447" t="s">
        <v>286</v>
      </c>
      <c r="C103" s="378">
        <v>0.27396322169763176</v>
      </c>
      <c r="D103" s="378">
        <v>0.33558836026310235</v>
      </c>
      <c r="E103" s="378">
        <v>0.39369684367441216</v>
      </c>
      <c r="F103" s="378">
        <v>0.44772135463028245</v>
      </c>
      <c r="G103" s="378">
        <v>0.46789316394520525</v>
      </c>
      <c r="H103" s="378">
        <v>0.49680142232856456</v>
      </c>
      <c r="I103" s="378">
        <v>0.66463714242987459</v>
      </c>
      <c r="J103" s="378">
        <v>0.78857104877741935</v>
      </c>
      <c r="K103" s="378">
        <v>0.86916808495991982</v>
      </c>
      <c r="L103" s="561">
        <v>1</v>
      </c>
    </row>
    <row r="104" spans="2:12" x14ac:dyDescent="0.3">
      <c r="B104" s="447" t="s">
        <v>287</v>
      </c>
      <c r="C104" s="378">
        <v>0.27133254606941865</v>
      </c>
      <c r="D104" s="378">
        <v>0.34330927566357017</v>
      </c>
      <c r="E104" s="378">
        <v>0.41715870661333865</v>
      </c>
      <c r="F104" s="378">
        <v>0.48520984230052672</v>
      </c>
      <c r="G104" s="378">
        <v>0.50920423063185971</v>
      </c>
      <c r="H104" s="378">
        <v>0.54703472863527691</v>
      </c>
      <c r="I104" s="378">
        <v>0.72902140092219281</v>
      </c>
      <c r="J104" s="378">
        <v>0.84581747275412589</v>
      </c>
      <c r="K104" s="378">
        <v>0.91203130178485814</v>
      </c>
      <c r="L104" s="561">
        <v>1</v>
      </c>
    </row>
    <row r="105" spans="2:12" x14ac:dyDescent="0.3">
      <c r="B105" s="447" t="s">
        <v>288</v>
      </c>
      <c r="C105" s="378">
        <v>0.24763763614316561</v>
      </c>
      <c r="D105" s="378">
        <v>0.31592133100768699</v>
      </c>
      <c r="E105" s="378">
        <v>0.38102607612728906</v>
      </c>
      <c r="F105" s="378">
        <v>0.44188493876971363</v>
      </c>
      <c r="G105" s="378">
        <v>0.46512805013491415</v>
      </c>
      <c r="H105" s="378">
        <v>0.4929302051205488</v>
      </c>
      <c r="I105" s="378">
        <v>0.6705071389816436</v>
      </c>
      <c r="J105" s="378">
        <v>0.78635491353475173</v>
      </c>
      <c r="K105" s="378">
        <v>0.86215083442879037</v>
      </c>
      <c r="L105" s="561">
        <v>1</v>
      </c>
    </row>
    <row r="106" spans="2:12" x14ac:dyDescent="0.3">
      <c r="B106" s="447" t="s">
        <v>289</v>
      </c>
      <c r="C106" s="378">
        <v>0.21863766770981971</v>
      </c>
      <c r="D106" s="378">
        <v>0.27124886468432702</v>
      </c>
      <c r="E106" s="378">
        <v>0.32394844474835827</v>
      </c>
      <c r="F106" s="378">
        <v>0.37585257700667413</v>
      </c>
      <c r="G106" s="378">
        <v>0.39553991019812934</v>
      </c>
      <c r="H106" s="378">
        <v>0.42549363699902198</v>
      </c>
      <c r="I106" s="378">
        <v>0.59831397627379224</v>
      </c>
      <c r="J106" s="378">
        <v>0.72871857312479582</v>
      </c>
      <c r="K106" s="378">
        <v>0.82384785083725542</v>
      </c>
      <c r="L106" s="561">
        <v>1</v>
      </c>
    </row>
    <row r="107" spans="2:12" x14ac:dyDescent="0.3">
      <c r="B107" s="447" t="s">
        <v>290</v>
      </c>
      <c r="C107" s="378">
        <v>0.2270275103573664</v>
      </c>
      <c r="D107" s="378">
        <v>0.28388125540222348</v>
      </c>
      <c r="E107" s="378">
        <v>0.33697952371017259</v>
      </c>
      <c r="F107" s="378">
        <v>0.38307352985007903</v>
      </c>
      <c r="G107" s="378">
        <v>0.40417573246699062</v>
      </c>
      <c r="H107" s="378">
        <v>0.43484545915173922</v>
      </c>
      <c r="I107" s="378">
        <v>0.57634645763166525</v>
      </c>
      <c r="J107" s="378">
        <v>0.70135018330303123</v>
      </c>
      <c r="K107" s="378">
        <v>0.80599684063068167</v>
      </c>
      <c r="L107" s="561">
        <v>1</v>
      </c>
    </row>
    <row r="108" spans="2:12" x14ac:dyDescent="0.3">
      <c r="B108" s="447" t="s">
        <v>291</v>
      </c>
      <c r="C108" s="378">
        <v>0.31468537422205572</v>
      </c>
      <c r="D108" s="378">
        <v>0.38127711985379042</v>
      </c>
      <c r="E108" s="378">
        <v>0.44382199443200487</v>
      </c>
      <c r="F108" s="378">
        <v>0.50599226383555962</v>
      </c>
      <c r="G108" s="378">
        <v>0.52697015361650068</v>
      </c>
      <c r="H108" s="378">
        <v>0.55729330733800442</v>
      </c>
      <c r="I108" s="378">
        <v>0.72144132178868281</v>
      </c>
      <c r="J108" s="378">
        <v>0.82749715498721499</v>
      </c>
      <c r="K108" s="378">
        <v>0.90206345017041678</v>
      </c>
      <c r="L108" s="561">
        <v>0.99999999999999978</v>
      </c>
    </row>
    <row r="109" spans="2:12" x14ac:dyDescent="0.3">
      <c r="B109" s="447" t="s">
        <v>292</v>
      </c>
      <c r="C109" s="378">
        <v>0.22424427126416765</v>
      </c>
      <c r="D109" s="378">
        <v>0.28898370267171697</v>
      </c>
      <c r="E109" s="378">
        <v>0.35055944969306457</v>
      </c>
      <c r="F109" s="378">
        <v>0.4079556503693384</v>
      </c>
      <c r="G109" s="378">
        <v>0.42725702758790834</v>
      </c>
      <c r="H109" s="378">
        <v>0.4648148954387798</v>
      </c>
      <c r="I109" s="378">
        <v>0.68017763071966564</v>
      </c>
      <c r="J109" s="378">
        <v>0.83013336816288619</v>
      </c>
      <c r="K109" s="378">
        <v>0.90908035468094672</v>
      </c>
      <c r="L109" s="561">
        <v>1</v>
      </c>
    </row>
    <row r="110" spans="2:12" x14ac:dyDescent="0.3">
      <c r="B110" s="447" t="s">
        <v>293</v>
      </c>
      <c r="C110" s="378">
        <v>0.29367035250959367</v>
      </c>
      <c r="D110" s="378">
        <v>0.3663424599506282</v>
      </c>
      <c r="E110" s="378">
        <v>0.43266050527835798</v>
      </c>
      <c r="F110" s="378">
        <v>0.49336318733945295</v>
      </c>
      <c r="G110" s="378">
        <v>0.51335605075737489</v>
      </c>
      <c r="H110" s="378">
        <v>0.54583793281179238</v>
      </c>
      <c r="I110" s="378">
        <v>0.7157595347449297</v>
      </c>
      <c r="J110" s="378">
        <v>0.82609693648650617</v>
      </c>
      <c r="K110" s="378">
        <v>0.89385064510945889</v>
      </c>
      <c r="L110" s="561">
        <v>1</v>
      </c>
    </row>
    <row r="111" spans="2:12" x14ac:dyDescent="0.3">
      <c r="B111" s="447" t="s">
        <v>294</v>
      </c>
      <c r="C111" s="378">
        <v>0.28112740930598856</v>
      </c>
      <c r="D111" s="378">
        <v>0.35543250855702346</v>
      </c>
      <c r="E111" s="378">
        <v>0.42272282723792642</v>
      </c>
      <c r="F111" s="378">
        <v>0.4827852823111074</v>
      </c>
      <c r="G111" s="378">
        <v>0.50416229447814886</v>
      </c>
      <c r="H111" s="378">
        <v>0.53486929964823915</v>
      </c>
      <c r="I111" s="378">
        <v>0.69237854158141543</v>
      </c>
      <c r="J111" s="378">
        <v>0.79508500056314813</v>
      </c>
      <c r="K111" s="378">
        <v>0.86674787014806676</v>
      </c>
      <c r="L111" s="561">
        <v>1.0000000000000002</v>
      </c>
    </row>
    <row r="112" spans="2:12" x14ac:dyDescent="0.3">
      <c r="B112" s="447" t="s">
        <v>295</v>
      </c>
      <c r="C112" s="378">
        <v>0.15783567446250246</v>
      </c>
      <c r="D112" s="378">
        <v>0.21747689952550375</v>
      </c>
      <c r="E112" s="378">
        <v>0.28620263551359432</v>
      </c>
      <c r="F112" s="378">
        <v>0.36237501094617075</v>
      </c>
      <c r="G112" s="378">
        <v>0.39200264654084782</v>
      </c>
      <c r="H112" s="378">
        <v>0.4349894754594959</v>
      </c>
      <c r="I112" s="378">
        <v>0.69253422502732487</v>
      </c>
      <c r="J112" s="378">
        <v>0.83634258433416475</v>
      </c>
      <c r="K112" s="378">
        <v>0.91160358969535593</v>
      </c>
      <c r="L112" s="561">
        <v>1</v>
      </c>
    </row>
    <row r="113" spans="1:13" x14ac:dyDescent="0.3">
      <c r="B113" s="447" t="s">
        <v>296</v>
      </c>
      <c r="C113" s="378">
        <v>0.19778553831993287</v>
      </c>
      <c r="D113" s="378">
        <v>0.25349901188445817</v>
      </c>
      <c r="E113" s="378">
        <v>0.30022469476704838</v>
      </c>
      <c r="F113" s="378">
        <v>0.36744362327079783</v>
      </c>
      <c r="G113" s="378">
        <v>0.38625842605376431</v>
      </c>
      <c r="H113" s="378">
        <v>0.41893391808116082</v>
      </c>
      <c r="I113" s="378">
        <v>0.60811066894068599</v>
      </c>
      <c r="J113" s="378">
        <v>0.75064295189366259</v>
      </c>
      <c r="K113" s="378">
        <v>0.85616827743035828</v>
      </c>
      <c r="L113" s="561">
        <v>1</v>
      </c>
    </row>
    <row r="114" spans="1:13" x14ac:dyDescent="0.3">
      <c r="B114" s="447" t="s">
        <v>297</v>
      </c>
      <c r="C114" s="378">
        <v>0.17203039436540804</v>
      </c>
      <c r="D114" s="378">
        <v>0.22247179160974453</v>
      </c>
      <c r="E114" s="378">
        <v>0.2702567305458099</v>
      </c>
      <c r="F114" s="378">
        <v>0.32136718614818488</v>
      </c>
      <c r="G114" s="378">
        <v>0.34012059529714594</v>
      </c>
      <c r="H114" s="378">
        <v>0.36535035751776052</v>
      </c>
      <c r="I114" s="378">
        <v>0.53597836601447213</v>
      </c>
      <c r="J114" s="378">
        <v>0.66272867046898354</v>
      </c>
      <c r="K114" s="378">
        <v>0.76034362573600545</v>
      </c>
      <c r="L114" s="561">
        <v>1</v>
      </c>
    </row>
    <row r="115" spans="1:13" x14ac:dyDescent="0.3">
      <c r="B115" s="447" t="s">
        <v>298</v>
      </c>
      <c r="C115" s="378">
        <v>0.19838964105641096</v>
      </c>
      <c r="D115" s="378">
        <v>0.25824196030232943</v>
      </c>
      <c r="E115" s="378">
        <v>0.32108273412625449</v>
      </c>
      <c r="F115" s="378">
        <v>0.37616591342385153</v>
      </c>
      <c r="G115" s="378">
        <v>0.39723026003812989</v>
      </c>
      <c r="H115" s="378">
        <v>0.42586445500382264</v>
      </c>
      <c r="I115" s="378">
        <v>0.60281812815128077</v>
      </c>
      <c r="J115" s="378">
        <v>0.72798095440864785</v>
      </c>
      <c r="K115" s="378">
        <v>0.82006561438484082</v>
      </c>
      <c r="L115" s="561">
        <v>0.99999999999999989</v>
      </c>
    </row>
    <row r="116" spans="1:13" x14ac:dyDescent="0.3">
      <c r="B116" s="447" t="s">
        <v>299</v>
      </c>
      <c r="C116" s="378">
        <v>0.29475171711196557</v>
      </c>
      <c r="D116" s="378">
        <v>0.36009234611719088</v>
      </c>
      <c r="E116" s="378">
        <v>0.42001051628380826</v>
      </c>
      <c r="F116" s="378">
        <v>0.47367642709257618</v>
      </c>
      <c r="G116" s="378">
        <v>0.49489795918367346</v>
      </c>
      <c r="H116" s="378">
        <v>0.52660291169607942</v>
      </c>
      <c r="I116" s="378">
        <v>0.6994232475598936</v>
      </c>
      <c r="J116" s="378">
        <v>0.82833809852443396</v>
      </c>
      <c r="K116" s="378">
        <v>0.9061996779388084</v>
      </c>
      <c r="L116" s="561">
        <v>1</v>
      </c>
    </row>
    <row r="117" spans="1:13" x14ac:dyDescent="0.3">
      <c r="B117" s="447" t="s">
        <v>300</v>
      </c>
      <c r="C117" s="378">
        <v>0.21340177593734011</v>
      </c>
      <c r="D117" s="378">
        <v>0.27328825748700564</v>
      </c>
      <c r="E117" s="378">
        <v>0.33010725437409449</v>
      </c>
      <c r="F117" s="378">
        <v>0.38359098929368957</v>
      </c>
      <c r="G117" s="378">
        <v>0.403652769343324</v>
      </c>
      <c r="H117" s="378">
        <v>0.43351232971037018</v>
      </c>
      <c r="I117" s="378">
        <v>0.61686566664594578</v>
      </c>
      <c r="J117" s="378">
        <v>0.76288558736473655</v>
      </c>
      <c r="K117" s="378">
        <v>0.86054540498926491</v>
      </c>
      <c r="L117" s="561">
        <v>0.99999999999999989</v>
      </c>
    </row>
    <row r="118" spans="1:13" ht="15" thickBot="1" x14ac:dyDescent="0.35">
      <c r="B118" s="448" t="s">
        <v>301</v>
      </c>
      <c r="C118" s="562">
        <v>0.18492233814248984</v>
      </c>
      <c r="D118" s="562">
        <v>0.23540785755264221</v>
      </c>
      <c r="E118" s="562">
        <v>0.28933557146803224</v>
      </c>
      <c r="F118" s="562">
        <v>0.35299492170069907</v>
      </c>
      <c r="G118" s="562">
        <v>0.37398805855980283</v>
      </c>
      <c r="H118" s="562">
        <v>0.40705012430146825</v>
      </c>
      <c r="I118" s="562">
        <v>0.62675562543824237</v>
      </c>
      <c r="J118" s="562">
        <v>0.78615897839066784</v>
      </c>
      <c r="K118" s="562">
        <v>0.87204385610777047</v>
      </c>
      <c r="L118" s="563">
        <v>1</v>
      </c>
    </row>
    <row r="119" spans="1:13" s="564" customFormat="1" ht="10.199999999999999" x14ac:dyDescent="0.2">
      <c r="B119" s="566" t="s">
        <v>818</v>
      </c>
      <c r="C119" s="565">
        <v>2</v>
      </c>
      <c r="D119" s="565">
        <v>3</v>
      </c>
      <c r="E119" s="565">
        <v>4</v>
      </c>
      <c r="F119" s="565">
        <v>5</v>
      </c>
      <c r="G119" s="565">
        <v>6</v>
      </c>
      <c r="H119" s="565">
        <v>7</v>
      </c>
      <c r="I119" s="565">
        <v>8</v>
      </c>
      <c r="J119" s="565">
        <v>9</v>
      </c>
      <c r="K119" s="565">
        <v>10</v>
      </c>
      <c r="L119" s="565">
        <v>11</v>
      </c>
      <c r="M119" s="565"/>
    </row>
    <row r="121" spans="1:13" ht="18" x14ac:dyDescent="0.35">
      <c r="A121" s="17" t="s">
        <v>795</v>
      </c>
    </row>
    <row r="122" spans="1:13" ht="15.6" x14ac:dyDescent="0.3">
      <c r="A122" s="236" t="s">
        <v>1071</v>
      </c>
    </row>
    <row r="123" spans="1:13" ht="15" thickBot="1" x14ac:dyDescent="0.35">
      <c r="A123" s="396" t="s">
        <v>1082</v>
      </c>
    </row>
    <row r="124" spans="1:13" ht="101.4" thickBot="1" x14ac:dyDescent="0.35">
      <c r="C124" s="453" t="s">
        <v>400</v>
      </c>
      <c r="D124" s="454" t="s">
        <v>399</v>
      </c>
      <c r="E124" s="454" t="s">
        <v>649</v>
      </c>
      <c r="F124" s="454" t="s">
        <v>403</v>
      </c>
      <c r="G124" s="454" t="s">
        <v>401</v>
      </c>
      <c r="H124" s="455" t="s">
        <v>402</v>
      </c>
    </row>
    <row r="125" spans="1:13" x14ac:dyDescent="0.3">
      <c r="B125" s="450" t="s">
        <v>252</v>
      </c>
      <c r="C125" s="458">
        <v>49030</v>
      </c>
      <c r="D125" s="458">
        <v>49030</v>
      </c>
      <c r="E125" s="458">
        <v>22870</v>
      </c>
      <c r="F125" s="458">
        <v>18330</v>
      </c>
      <c r="G125" s="458">
        <v>27710</v>
      </c>
      <c r="H125" s="459">
        <v>18330</v>
      </c>
    </row>
    <row r="126" spans="1:13" x14ac:dyDescent="0.3">
      <c r="B126" s="451" t="s">
        <v>253</v>
      </c>
      <c r="C126" s="456">
        <v>53780</v>
      </c>
      <c r="D126" s="456">
        <v>53780</v>
      </c>
      <c r="E126" s="456">
        <v>42580</v>
      </c>
      <c r="F126" s="456">
        <v>25080</v>
      </c>
      <c r="G126" s="456">
        <v>38020</v>
      </c>
      <c r="H126" s="457">
        <v>25080</v>
      </c>
      <c r="J126" t="s">
        <v>361</v>
      </c>
    </row>
    <row r="127" spans="1:13" x14ac:dyDescent="0.3">
      <c r="B127" s="451" t="s">
        <v>254</v>
      </c>
      <c r="C127" s="456">
        <v>40290</v>
      </c>
      <c r="D127" s="456">
        <v>40290</v>
      </c>
      <c r="E127" s="456">
        <v>32760</v>
      </c>
      <c r="F127" s="456">
        <v>20660</v>
      </c>
      <c r="G127" s="456">
        <v>25640</v>
      </c>
      <c r="H127" s="457">
        <v>20660</v>
      </c>
    </row>
    <row r="128" spans="1:13" x14ac:dyDescent="0.3">
      <c r="B128" s="451" t="s">
        <v>255</v>
      </c>
      <c r="C128" s="456">
        <v>48180</v>
      </c>
      <c r="D128" s="456">
        <v>48180</v>
      </c>
      <c r="E128" s="456">
        <v>24420</v>
      </c>
      <c r="F128" s="456">
        <v>18090</v>
      </c>
      <c r="G128" s="456">
        <v>29480</v>
      </c>
      <c r="H128" s="457">
        <v>18090</v>
      </c>
    </row>
    <row r="129" spans="2:8" x14ac:dyDescent="0.3">
      <c r="B129" s="451" t="s">
        <v>256</v>
      </c>
      <c r="C129" s="456">
        <v>58800</v>
      </c>
      <c r="D129" s="456">
        <v>58800</v>
      </c>
      <c r="E129" s="456">
        <v>33270</v>
      </c>
      <c r="F129" s="456">
        <v>24810</v>
      </c>
      <c r="G129" s="456">
        <v>34070</v>
      </c>
      <c r="H129" s="457">
        <v>24810</v>
      </c>
    </row>
    <row r="130" spans="2:8" x14ac:dyDescent="0.3">
      <c r="B130" s="451" t="s">
        <v>257</v>
      </c>
      <c r="C130" s="456">
        <v>46470</v>
      </c>
      <c r="D130" s="456">
        <v>46470</v>
      </c>
      <c r="E130" s="456">
        <v>35980</v>
      </c>
      <c r="F130" s="456">
        <v>24450</v>
      </c>
      <c r="G130" s="456">
        <v>31650</v>
      </c>
      <c r="H130" s="457">
        <v>24450</v>
      </c>
    </row>
    <row r="131" spans="2:8" x14ac:dyDescent="0.3">
      <c r="B131" s="451" t="s">
        <v>258</v>
      </c>
      <c r="C131" s="456">
        <v>54060</v>
      </c>
      <c r="D131" s="456">
        <v>54060</v>
      </c>
      <c r="E131" s="456">
        <v>35400</v>
      </c>
      <c r="F131" s="456">
        <v>23210</v>
      </c>
      <c r="G131" s="456">
        <v>36120</v>
      </c>
      <c r="H131" s="457">
        <v>23210</v>
      </c>
    </row>
    <row r="132" spans="2:8" x14ac:dyDescent="0.3">
      <c r="B132" s="451" t="s">
        <v>259</v>
      </c>
      <c r="C132" s="456">
        <v>49070</v>
      </c>
      <c r="D132" s="456">
        <v>49070</v>
      </c>
      <c r="E132" s="456">
        <v>28130</v>
      </c>
      <c r="F132" s="456">
        <v>21530</v>
      </c>
      <c r="G132" s="456">
        <v>24640</v>
      </c>
      <c r="H132" s="457">
        <v>21530</v>
      </c>
    </row>
    <row r="133" spans="2:8" x14ac:dyDescent="0.3">
      <c r="B133" s="451" t="s">
        <v>1081</v>
      </c>
      <c r="C133" s="456">
        <v>55420</v>
      </c>
      <c r="D133" s="456">
        <v>55420</v>
      </c>
      <c r="E133" s="456">
        <v>41620</v>
      </c>
      <c r="F133" s="456">
        <v>26470</v>
      </c>
      <c r="G133" s="456">
        <v>35520</v>
      </c>
      <c r="H133" s="457">
        <v>26470</v>
      </c>
    </row>
    <row r="134" spans="2:8" x14ac:dyDescent="0.3">
      <c r="B134" s="451" t="s">
        <v>260</v>
      </c>
      <c r="C134" s="456">
        <v>65400</v>
      </c>
      <c r="D134" s="456">
        <v>65400</v>
      </c>
      <c r="E134" s="456">
        <v>27680</v>
      </c>
      <c r="F134" s="456">
        <v>20790</v>
      </c>
      <c r="G134" s="456">
        <v>26180</v>
      </c>
      <c r="H134" s="457">
        <v>20790</v>
      </c>
    </row>
    <row r="135" spans="2:8" x14ac:dyDescent="0.3">
      <c r="B135" s="451" t="s">
        <v>261</v>
      </c>
      <c r="C135" s="456">
        <v>51120</v>
      </c>
      <c r="D135" s="456">
        <v>51120</v>
      </c>
      <c r="E135" s="456">
        <v>27100</v>
      </c>
      <c r="F135" s="456">
        <v>20330</v>
      </c>
      <c r="G135" s="456">
        <v>31350</v>
      </c>
      <c r="H135" s="457">
        <v>20330</v>
      </c>
    </row>
    <row r="136" spans="2:8" x14ac:dyDescent="0.3">
      <c r="B136" s="451" t="s">
        <v>262</v>
      </c>
      <c r="C136" s="456">
        <v>48730</v>
      </c>
      <c r="D136" s="456">
        <v>48730</v>
      </c>
      <c r="E136" s="456">
        <v>31790</v>
      </c>
      <c r="F136" s="456">
        <v>19430</v>
      </c>
      <c r="G136" s="456">
        <v>32020</v>
      </c>
      <c r="H136" s="457">
        <v>19430</v>
      </c>
    </row>
    <row r="137" spans="2:8" x14ac:dyDescent="0.3">
      <c r="B137" s="451" t="s">
        <v>263</v>
      </c>
      <c r="C137" s="456">
        <v>45370</v>
      </c>
      <c r="D137" s="456">
        <v>45370</v>
      </c>
      <c r="E137" s="456">
        <v>28510</v>
      </c>
      <c r="F137" s="456">
        <v>18860</v>
      </c>
      <c r="G137" s="456">
        <v>25980</v>
      </c>
      <c r="H137" s="457">
        <v>18860</v>
      </c>
    </row>
    <row r="138" spans="2:8" x14ac:dyDescent="0.3">
      <c r="B138" s="451" t="s">
        <v>264</v>
      </c>
      <c r="C138" s="456">
        <v>51700</v>
      </c>
      <c r="D138" s="456">
        <v>51700</v>
      </c>
      <c r="E138" s="456">
        <v>33050</v>
      </c>
      <c r="F138" s="456">
        <v>23090</v>
      </c>
      <c r="G138" s="456">
        <v>30510</v>
      </c>
      <c r="H138" s="457">
        <v>23090</v>
      </c>
    </row>
    <row r="139" spans="2:8" x14ac:dyDescent="0.3">
      <c r="B139" s="451" t="s">
        <v>265</v>
      </c>
      <c r="C139" s="456">
        <v>43560</v>
      </c>
      <c r="D139" s="456">
        <v>43560</v>
      </c>
      <c r="E139" s="456">
        <v>27290</v>
      </c>
      <c r="F139" s="456">
        <v>19830</v>
      </c>
      <c r="G139" s="456">
        <v>27600</v>
      </c>
      <c r="H139" s="457">
        <v>19830</v>
      </c>
    </row>
    <row r="140" spans="2:8" x14ac:dyDescent="0.3">
      <c r="B140" s="451" t="s">
        <v>266</v>
      </c>
      <c r="C140" s="456">
        <v>39970</v>
      </c>
      <c r="D140" s="456">
        <v>39970</v>
      </c>
      <c r="E140" s="456">
        <v>31250</v>
      </c>
      <c r="F140" s="456">
        <v>18540</v>
      </c>
      <c r="G140" s="456">
        <v>27090</v>
      </c>
      <c r="H140" s="457">
        <v>18540</v>
      </c>
    </row>
    <row r="141" spans="2:8" x14ac:dyDescent="0.3">
      <c r="B141" s="451" t="s">
        <v>267</v>
      </c>
      <c r="C141" s="456">
        <v>48370</v>
      </c>
      <c r="D141" s="456">
        <v>48370</v>
      </c>
      <c r="E141" s="456">
        <v>27840</v>
      </c>
      <c r="F141" s="456">
        <v>20050</v>
      </c>
      <c r="G141" s="456">
        <v>30790</v>
      </c>
      <c r="H141" s="457">
        <v>20050</v>
      </c>
    </row>
    <row r="142" spans="2:8" x14ac:dyDescent="0.3">
      <c r="B142" s="451" t="s">
        <v>268</v>
      </c>
      <c r="C142" s="456">
        <v>39850</v>
      </c>
      <c r="D142" s="456">
        <v>39850</v>
      </c>
      <c r="E142" s="456">
        <v>28490</v>
      </c>
      <c r="F142" s="456">
        <v>19780</v>
      </c>
      <c r="G142" s="456">
        <v>37670</v>
      </c>
      <c r="H142" s="457">
        <v>19780</v>
      </c>
    </row>
    <row r="143" spans="2:8" x14ac:dyDescent="0.3">
      <c r="B143" s="451" t="s">
        <v>269</v>
      </c>
      <c r="C143" s="456">
        <v>45780</v>
      </c>
      <c r="D143" s="456">
        <v>45780</v>
      </c>
      <c r="E143" s="456">
        <v>24260</v>
      </c>
      <c r="F143" s="456">
        <v>18600</v>
      </c>
      <c r="G143" s="456">
        <v>34870</v>
      </c>
      <c r="H143" s="457">
        <v>18600</v>
      </c>
    </row>
    <row r="144" spans="2:8" x14ac:dyDescent="0.3">
      <c r="B144" s="451" t="s">
        <v>270</v>
      </c>
      <c r="C144" s="456">
        <v>40190</v>
      </c>
      <c r="D144" s="456">
        <v>40190</v>
      </c>
      <c r="E144" s="456">
        <v>29600</v>
      </c>
      <c r="F144" s="456">
        <v>21290</v>
      </c>
      <c r="G144" s="456">
        <v>29320</v>
      </c>
      <c r="H144" s="457">
        <v>21290</v>
      </c>
    </row>
    <row r="145" spans="2:8" x14ac:dyDescent="0.3">
      <c r="B145" s="451" t="s">
        <v>271</v>
      </c>
      <c r="C145" s="456">
        <v>53280</v>
      </c>
      <c r="D145" s="456">
        <v>53280</v>
      </c>
      <c r="E145" s="456">
        <v>31770</v>
      </c>
      <c r="F145" s="456">
        <v>22570</v>
      </c>
      <c r="G145" s="456">
        <v>31510</v>
      </c>
      <c r="H145" s="457">
        <v>22570</v>
      </c>
    </row>
    <row r="146" spans="2:8" x14ac:dyDescent="0.3">
      <c r="B146" s="451" t="s">
        <v>272</v>
      </c>
      <c r="C146" s="456">
        <v>58290</v>
      </c>
      <c r="D146" s="456">
        <v>58290</v>
      </c>
      <c r="E146" s="456">
        <v>35130</v>
      </c>
      <c r="F146" s="456">
        <v>25890</v>
      </c>
      <c r="G146" s="456">
        <v>36240</v>
      </c>
      <c r="H146" s="457">
        <v>25890</v>
      </c>
    </row>
    <row r="147" spans="2:8" x14ac:dyDescent="0.3">
      <c r="B147" s="451" t="s">
        <v>273</v>
      </c>
      <c r="C147" s="456">
        <v>45810</v>
      </c>
      <c r="D147" s="456">
        <v>45810</v>
      </c>
      <c r="E147" s="456">
        <v>31070</v>
      </c>
      <c r="F147" s="456">
        <v>21380</v>
      </c>
      <c r="G147" s="456">
        <v>30410</v>
      </c>
      <c r="H147" s="457">
        <v>21380</v>
      </c>
    </row>
    <row r="148" spans="2:8" x14ac:dyDescent="0.3">
      <c r="B148" s="451" t="s">
        <v>274</v>
      </c>
      <c r="C148" s="456">
        <v>49790</v>
      </c>
      <c r="D148" s="456">
        <v>49790</v>
      </c>
      <c r="E148" s="456">
        <v>31850</v>
      </c>
      <c r="F148" s="456">
        <v>22740</v>
      </c>
      <c r="G148" s="456">
        <v>34720</v>
      </c>
      <c r="H148" s="457">
        <v>22740</v>
      </c>
    </row>
    <row r="149" spans="2:8" x14ac:dyDescent="0.3">
      <c r="B149" s="451" t="s">
        <v>275</v>
      </c>
      <c r="C149" s="456">
        <v>44990</v>
      </c>
      <c r="D149" s="456">
        <v>44990</v>
      </c>
      <c r="E149" s="456">
        <v>24700</v>
      </c>
      <c r="F149" s="456">
        <v>18310</v>
      </c>
      <c r="G149" s="456">
        <v>26200</v>
      </c>
      <c r="H149" s="457">
        <v>18310</v>
      </c>
    </row>
    <row r="150" spans="2:8" x14ac:dyDescent="0.3">
      <c r="B150" s="451" t="s">
        <v>276</v>
      </c>
      <c r="C150" s="456">
        <v>42170</v>
      </c>
      <c r="D150" s="456">
        <v>42170</v>
      </c>
      <c r="E150" s="456">
        <v>29910</v>
      </c>
      <c r="F150" s="456">
        <v>20010</v>
      </c>
      <c r="G150" s="456">
        <v>27060</v>
      </c>
      <c r="H150" s="457">
        <v>20010</v>
      </c>
    </row>
    <row r="151" spans="2:8" x14ac:dyDescent="0.3">
      <c r="B151" s="451" t="s">
        <v>277</v>
      </c>
      <c r="C151" s="456">
        <v>41360</v>
      </c>
      <c r="D151" s="456">
        <v>41360</v>
      </c>
      <c r="E151" s="456">
        <v>28620</v>
      </c>
      <c r="F151" s="456">
        <v>20830</v>
      </c>
      <c r="G151" s="456">
        <v>25150</v>
      </c>
      <c r="H151" s="457">
        <v>20830</v>
      </c>
    </row>
    <row r="152" spans="2:8" x14ac:dyDescent="0.3">
      <c r="B152" s="451" t="s">
        <v>278</v>
      </c>
      <c r="C152" s="456">
        <v>46230</v>
      </c>
      <c r="D152" s="456">
        <v>46230</v>
      </c>
      <c r="E152" s="456">
        <v>25390</v>
      </c>
      <c r="F152" s="456">
        <v>19330</v>
      </c>
      <c r="G152" s="456">
        <v>31340</v>
      </c>
      <c r="H152" s="457">
        <v>19330</v>
      </c>
    </row>
    <row r="153" spans="2:8" x14ac:dyDescent="0.3">
      <c r="B153" s="451" t="s">
        <v>279</v>
      </c>
      <c r="C153" s="456">
        <v>45620</v>
      </c>
      <c r="D153" s="456">
        <v>45620</v>
      </c>
      <c r="E153" s="456">
        <v>32410</v>
      </c>
      <c r="F153" s="456">
        <v>21860</v>
      </c>
      <c r="G153" s="456">
        <v>26840</v>
      </c>
      <c r="H153" s="457">
        <v>21860</v>
      </c>
    </row>
    <row r="154" spans="2:8" x14ac:dyDescent="0.3">
      <c r="B154" s="451" t="s">
        <v>280</v>
      </c>
      <c r="C154" s="456">
        <v>46760</v>
      </c>
      <c r="D154" s="456">
        <v>46760</v>
      </c>
      <c r="E154" s="456">
        <v>35220</v>
      </c>
      <c r="F154" s="456">
        <v>21750</v>
      </c>
      <c r="G154" s="456">
        <v>28160</v>
      </c>
      <c r="H154" s="457">
        <v>21750</v>
      </c>
    </row>
    <row r="155" spans="2:8" x14ac:dyDescent="0.3">
      <c r="B155" s="451" t="s">
        <v>281</v>
      </c>
      <c r="C155" s="456">
        <v>66800</v>
      </c>
      <c r="D155" s="456">
        <v>66800</v>
      </c>
      <c r="E155" s="456">
        <v>33310</v>
      </c>
      <c r="F155" s="456">
        <v>23890</v>
      </c>
      <c r="G155" s="456">
        <v>38210</v>
      </c>
      <c r="H155" s="457">
        <v>23890</v>
      </c>
    </row>
    <row r="156" spans="2:8" x14ac:dyDescent="0.3">
      <c r="B156" s="451" t="s">
        <v>282</v>
      </c>
      <c r="C156" s="456">
        <v>52630</v>
      </c>
      <c r="D156" s="456">
        <v>52630</v>
      </c>
      <c r="E156" s="456">
        <v>25510</v>
      </c>
      <c r="F156" s="456">
        <v>19190</v>
      </c>
      <c r="G156" s="456">
        <v>28710</v>
      </c>
      <c r="H156" s="457">
        <v>19190</v>
      </c>
    </row>
    <row r="157" spans="2:8" x14ac:dyDescent="0.3">
      <c r="B157" s="451" t="s">
        <v>283</v>
      </c>
      <c r="C157" s="456">
        <v>65110</v>
      </c>
      <c r="D157" s="456">
        <v>65110</v>
      </c>
      <c r="E157" s="456">
        <v>31050</v>
      </c>
      <c r="F157" s="456">
        <v>25730</v>
      </c>
      <c r="G157" s="456">
        <v>42190</v>
      </c>
      <c r="H157" s="457">
        <v>25730</v>
      </c>
    </row>
    <row r="158" spans="2:8" x14ac:dyDescent="0.3">
      <c r="B158" s="451" t="s">
        <v>284</v>
      </c>
      <c r="C158" s="456">
        <v>48090</v>
      </c>
      <c r="D158" s="456">
        <v>48090</v>
      </c>
      <c r="E158" s="456">
        <v>27410</v>
      </c>
      <c r="F158" s="456">
        <v>20520</v>
      </c>
      <c r="G158" s="456">
        <v>26100</v>
      </c>
      <c r="H158" s="457">
        <v>20520</v>
      </c>
    </row>
    <row r="159" spans="2:8" x14ac:dyDescent="0.3">
      <c r="B159" s="451" t="s">
        <v>285</v>
      </c>
      <c r="C159" s="456">
        <v>39260</v>
      </c>
      <c r="D159" s="456">
        <v>39260</v>
      </c>
      <c r="E159" s="456">
        <v>25810</v>
      </c>
      <c r="F159" s="456">
        <v>20190</v>
      </c>
      <c r="G159" s="456">
        <v>34650</v>
      </c>
      <c r="H159" s="457">
        <v>20190</v>
      </c>
    </row>
    <row r="160" spans="2:8" x14ac:dyDescent="0.3">
      <c r="B160" s="451" t="s">
        <v>286</v>
      </c>
      <c r="C160" s="456">
        <v>46240</v>
      </c>
      <c r="D160" s="456">
        <v>46240</v>
      </c>
      <c r="E160" s="456">
        <v>29690</v>
      </c>
      <c r="F160" s="456">
        <v>21580</v>
      </c>
      <c r="G160" s="456">
        <v>26660</v>
      </c>
      <c r="H160" s="457">
        <v>21580</v>
      </c>
    </row>
    <row r="161" spans="2:8" x14ac:dyDescent="0.3">
      <c r="B161" s="451" t="s">
        <v>287</v>
      </c>
      <c r="C161" s="456">
        <v>39170</v>
      </c>
      <c r="D161" s="456">
        <v>39170</v>
      </c>
      <c r="E161" s="456">
        <v>27120</v>
      </c>
      <c r="F161" s="456">
        <v>19260</v>
      </c>
      <c r="G161" s="456">
        <v>29170</v>
      </c>
      <c r="H161" s="457">
        <v>19260</v>
      </c>
    </row>
    <row r="162" spans="2:8" x14ac:dyDescent="0.3">
      <c r="B162" s="451" t="s">
        <v>288</v>
      </c>
      <c r="C162" s="456">
        <v>41800</v>
      </c>
      <c r="D162" s="456">
        <v>41800</v>
      </c>
      <c r="E162" s="456">
        <v>32690</v>
      </c>
      <c r="F162" s="456">
        <v>23610</v>
      </c>
      <c r="G162" s="456">
        <v>30380</v>
      </c>
      <c r="H162" s="457">
        <v>23610</v>
      </c>
    </row>
    <row r="163" spans="2:8" x14ac:dyDescent="0.3">
      <c r="B163" s="451" t="s">
        <v>289</v>
      </c>
      <c r="C163" s="456">
        <v>44660</v>
      </c>
      <c r="D163" s="456">
        <v>44660</v>
      </c>
      <c r="E163" s="456">
        <v>31320</v>
      </c>
      <c r="F163" s="456">
        <v>20520</v>
      </c>
      <c r="G163" s="456">
        <v>27450</v>
      </c>
      <c r="H163" s="457">
        <v>20520</v>
      </c>
    </row>
    <row r="164" spans="2:8" x14ac:dyDescent="0.3">
      <c r="B164" s="451" t="s">
        <v>290</v>
      </c>
      <c r="C164" s="456">
        <v>60470</v>
      </c>
      <c r="D164" s="456">
        <v>60470</v>
      </c>
      <c r="E164" s="456">
        <v>33640</v>
      </c>
      <c r="F164" s="456">
        <v>22670</v>
      </c>
      <c r="G164" s="456">
        <v>35070</v>
      </c>
      <c r="H164" s="457">
        <v>22670</v>
      </c>
    </row>
    <row r="165" spans="2:8" x14ac:dyDescent="0.3">
      <c r="B165" s="451" t="s">
        <v>291</v>
      </c>
      <c r="C165" s="456">
        <v>48500</v>
      </c>
      <c r="D165" s="456">
        <v>48500</v>
      </c>
      <c r="E165" s="456">
        <v>27100</v>
      </c>
      <c r="F165" s="456">
        <v>18470</v>
      </c>
      <c r="G165" s="456">
        <v>28390</v>
      </c>
      <c r="H165" s="457">
        <v>18470</v>
      </c>
    </row>
    <row r="166" spans="2:8" x14ac:dyDescent="0.3">
      <c r="B166" s="451" t="s">
        <v>292</v>
      </c>
      <c r="C166" s="456">
        <v>51260</v>
      </c>
      <c r="D166" s="456">
        <v>51260</v>
      </c>
      <c r="E166" s="456">
        <v>23170</v>
      </c>
      <c r="F166" s="456">
        <v>18820</v>
      </c>
      <c r="G166" s="456">
        <v>29340</v>
      </c>
      <c r="H166" s="457">
        <v>18820</v>
      </c>
    </row>
    <row r="167" spans="2:8" x14ac:dyDescent="0.3">
      <c r="B167" s="451" t="s">
        <v>293</v>
      </c>
      <c r="C167" s="456">
        <v>40090</v>
      </c>
      <c r="D167" s="456">
        <v>40090</v>
      </c>
      <c r="E167" s="456">
        <v>29650</v>
      </c>
      <c r="F167" s="456">
        <v>19920</v>
      </c>
      <c r="G167" s="456">
        <v>29830</v>
      </c>
      <c r="H167" s="457">
        <v>19920</v>
      </c>
    </row>
    <row r="168" spans="2:8" x14ac:dyDescent="0.3">
      <c r="B168" s="451" t="s">
        <v>294</v>
      </c>
      <c r="C168" s="456">
        <v>50490</v>
      </c>
      <c r="D168" s="456">
        <v>50490</v>
      </c>
      <c r="E168" s="456">
        <v>31810</v>
      </c>
      <c r="F168" s="456">
        <v>19740</v>
      </c>
      <c r="G168" s="456">
        <v>35350</v>
      </c>
      <c r="H168" s="457">
        <v>19740</v>
      </c>
    </row>
    <row r="169" spans="2:8" x14ac:dyDescent="0.3">
      <c r="B169" s="451" t="s">
        <v>295</v>
      </c>
      <c r="C169" s="456">
        <v>46400</v>
      </c>
      <c r="D169" s="456">
        <v>46400</v>
      </c>
      <c r="E169" s="456">
        <v>27690</v>
      </c>
      <c r="F169" s="456">
        <v>21500</v>
      </c>
      <c r="G169" s="456">
        <v>25460</v>
      </c>
      <c r="H169" s="457">
        <v>21500</v>
      </c>
    </row>
    <row r="170" spans="2:8" x14ac:dyDescent="0.3">
      <c r="B170" s="451" t="s">
        <v>296</v>
      </c>
      <c r="C170" s="456">
        <v>46400</v>
      </c>
      <c r="D170" s="456">
        <v>46400</v>
      </c>
      <c r="E170" s="456">
        <v>30460</v>
      </c>
      <c r="F170" s="456">
        <v>24070</v>
      </c>
      <c r="G170" s="456">
        <v>31790</v>
      </c>
      <c r="H170" s="457">
        <v>24070</v>
      </c>
    </row>
    <row r="171" spans="2:8" x14ac:dyDescent="0.3">
      <c r="B171" s="451" t="s">
        <v>297</v>
      </c>
      <c r="C171" s="456">
        <v>55080</v>
      </c>
      <c r="D171" s="456">
        <v>55080</v>
      </c>
      <c r="E171" s="456">
        <v>31560</v>
      </c>
      <c r="F171" s="456">
        <v>21030</v>
      </c>
      <c r="G171" s="456">
        <v>35780</v>
      </c>
      <c r="H171" s="457">
        <v>21030</v>
      </c>
    </row>
    <row r="172" spans="2:8" x14ac:dyDescent="0.3">
      <c r="B172" s="451" t="s">
        <v>298</v>
      </c>
      <c r="C172" s="456">
        <v>44520</v>
      </c>
      <c r="D172" s="456">
        <v>44520</v>
      </c>
      <c r="E172" s="456">
        <v>32460</v>
      </c>
      <c r="F172" s="456">
        <v>23630</v>
      </c>
      <c r="G172" s="456">
        <v>28940</v>
      </c>
      <c r="H172" s="457">
        <v>23630</v>
      </c>
    </row>
    <row r="173" spans="2:8" x14ac:dyDescent="0.3">
      <c r="B173" s="451" t="s">
        <v>299</v>
      </c>
      <c r="C173" s="456">
        <v>40490</v>
      </c>
      <c r="D173" s="456">
        <v>40490</v>
      </c>
      <c r="E173" s="456">
        <v>25880</v>
      </c>
      <c r="F173" s="456">
        <v>18530</v>
      </c>
      <c r="G173" s="456">
        <v>29690</v>
      </c>
      <c r="H173" s="457">
        <v>18530</v>
      </c>
    </row>
    <row r="174" spans="2:8" x14ac:dyDescent="0.3">
      <c r="B174" s="451" t="s">
        <v>300</v>
      </c>
      <c r="C174" s="456">
        <v>48770</v>
      </c>
      <c r="D174" s="456">
        <v>48770</v>
      </c>
      <c r="E174" s="456">
        <v>31460</v>
      </c>
      <c r="F174" s="456">
        <v>21230</v>
      </c>
      <c r="G174" s="456">
        <v>26900</v>
      </c>
      <c r="H174" s="457">
        <v>21230</v>
      </c>
    </row>
    <row r="175" spans="2:8" ht="15" thickBot="1" x14ac:dyDescent="0.35">
      <c r="B175" s="452" t="s">
        <v>301</v>
      </c>
      <c r="C175" s="460">
        <v>48210</v>
      </c>
      <c r="D175" s="460">
        <v>48210</v>
      </c>
      <c r="E175" s="460">
        <v>31480</v>
      </c>
      <c r="F175" s="460">
        <v>21840</v>
      </c>
      <c r="G175" s="460">
        <v>29440</v>
      </c>
      <c r="H175" s="461">
        <v>21840</v>
      </c>
    </row>
    <row r="178" spans="1:10" ht="18" x14ac:dyDescent="0.35">
      <c r="A178" s="17" t="s">
        <v>794</v>
      </c>
    </row>
    <row r="179" spans="1:10" ht="15.6" x14ac:dyDescent="0.3">
      <c r="A179" s="236" t="s">
        <v>1071</v>
      </c>
    </row>
    <row r="180" spans="1:10" ht="15" thickBot="1" x14ac:dyDescent="0.35">
      <c r="A180" s="396" t="s">
        <v>1082</v>
      </c>
    </row>
    <row r="181" spans="1:10" ht="87" thickBot="1" x14ac:dyDescent="0.35">
      <c r="C181" s="453" t="s">
        <v>405</v>
      </c>
      <c r="D181" s="454" t="s">
        <v>408</v>
      </c>
      <c r="E181" s="454" t="s">
        <v>649</v>
      </c>
      <c r="F181" s="454" t="s">
        <v>403</v>
      </c>
      <c r="G181" s="454" t="s">
        <v>406</v>
      </c>
      <c r="H181" s="455" t="s">
        <v>407</v>
      </c>
    </row>
    <row r="182" spans="1:10" x14ac:dyDescent="0.3">
      <c r="B182" s="450" t="s">
        <v>252</v>
      </c>
      <c r="C182" s="458">
        <v>78790</v>
      </c>
      <c r="D182" s="458">
        <v>78790</v>
      </c>
      <c r="E182" s="458">
        <v>22870</v>
      </c>
      <c r="F182" s="458">
        <v>18330</v>
      </c>
      <c r="G182" s="458">
        <v>47610</v>
      </c>
      <c r="H182" s="459">
        <v>47610</v>
      </c>
    </row>
    <row r="183" spans="1:10" x14ac:dyDescent="0.3">
      <c r="B183" s="451" t="s">
        <v>253</v>
      </c>
      <c r="C183" s="456">
        <v>101770</v>
      </c>
      <c r="D183" s="456">
        <v>101770</v>
      </c>
      <c r="E183" s="456">
        <v>42580</v>
      </c>
      <c r="F183" s="456">
        <v>25080</v>
      </c>
      <c r="G183" s="456">
        <v>66380</v>
      </c>
      <c r="H183" s="457">
        <v>66380</v>
      </c>
      <c r="J183" t="s">
        <v>361</v>
      </c>
    </row>
    <row r="184" spans="1:10" x14ac:dyDescent="0.3">
      <c r="B184" s="451" t="s">
        <v>254</v>
      </c>
      <c r="C184" s="456">
        <v>75680</v>
      </c>
      <c r="D184" s="456">
        <v>75680</v>
      </c>
      <c r="E184" s="456">
        <v>32760</v>
      </c>
      <c r="F184" s="456">
        <v>20660</v>
      </c>
      <c r="G184" s="456">
        <v>42200</v>
      </c>
      <c r="H184" s="457">
        <v>42200</v>
      </c>
    </row>
    <row r="185" spans="1:10" x14ac:dyDescent="0.3">
      <c r="B185" s="451" t="s">
        <v>255</v>
      </c>
      <c r="C185" s="456">
        <v>76770</v>
      </c>
      <c r="D185" s="456">
        <v>76770</v>
      </c>
      <c r="E185" s="456">
        <v>24420</v>
      </c>
      <c r="F185" s="456">
        <v>18090</v>
      </c>
      <c r="G185" s="456">
        <v>45420</v>
      </c>
      <c r="H185" s="457">
        <v>45420</v>
      </c>
    </row>
    <row r="186" spans="1:10" x14ac:dyDescent="0.3">
      <c r="B186" s="451" t="s">
        <v>256</v>
      </c>
      <c r="C186" s="456">
        <v>104790</v>
      </c>
      <c r="D186" s="456">
        <v>104790</v>
      </c>
      <c r="E186" s="456">
        <v>33270</v>
      </c>
      <c r="F186" s="456">
        <v>24810</v>
      </c>
      <c r="G186" s="456">
        <v>63760</v>
      </c>
      <c r="H186" s="457">
        <v>63760</v>
      </c>
    </row>
    <row r="187" spans="1:10" x14ac:dyDescent="0.3">
      <c r="B187" s="451" t="s">
        <v>257</v>
      </c>
      <c r="C187" s="456">
        <v>84370</v>
      </c>
      <c r="D187" s="456">
        <v>84370</v>
      </c>
      <c r="E187" s="456">
        <v>35980</v>
      </c>
      <c r="F187" s="456">
        <v>24450</v>
      </c>
      <c r="G187" s="456">
        <v>45550</v>
      </c>
      <c r="H187" s="457">
        <v>45550</v>
      </c>
    </row>
    <row r="188" spans="1:10" x14ac:dyDescent="0.3">
      <c r="B188" s="451" t="s">
        <v>258</v>
      </c>
      <c r="C188" s="456">
        <v>117950</v>
      </c>
      <c r="D188" s="456">
        <v>117950</v>
      </c>
      <c r="E188" s="456">
        <v>35400</v>
      </c>
      <c r="F188" s="456">
        <v>23210</v>
      </c>
      <c r="G188" s="456">
        <v>70480</v>
      </c>
      <c r="H188" s="457">
        <v>70480</v>
      </c>
    </row>
    <row r="189" spans="1:10" x14ac:dyDescent="0.3">
      <c r="B189" s="451" t="s">
        <v>259</v>
      </c>
      <c r="C189" s="456">
        <v>109450</v>
      </c>
      <c r="D189" s="456">
        <v>109450</v>
      </c>
      <c r="E189" s="456">
        <v>28130</v>
      </c>
      <c r="F189" s="456">
        <v>21530</v>
      </c>
      <c r="G189" s="456">
        <v>58510</v>
      </c>
      <c r="H189" s="457">
        <v>58510</v>
      </c>
    </row>
    <row r="190" spans="1:10" x14ac:dyDescent="0.3">
      <c r="B190" s="451" t="s">
        <v>1081</v>
      </c>
      <c r="C190" s="456">
        <v>89660</v>
      </c>
      <c r="D190" s="456">
        <v>89660</v>
      </c>
      <c r="E190" s="456">
        <v>41620</v>
      </c>
      <c r="F190" s="456">
        <v>26470</v>
      </c>
      <c r="G190" s="456">
        <v>49150</v>
      </c>
      <c r="H190" s="457">
        <v>49150</v>
      </c>
    </row>
    <row r="191" spans="1:10" x14ac:dyDescent="0.3">
      <c r="B191" s="451" t="s">
        <v>260</v>
      </c>
      <c r="C191" s="456">
        <v>90230</v>
      </c>
      <c r="D191" s="456">
        <v>90230</v>
      </c>
      <c r="E191" s="456">
        <v>27680</v>
      </c>
      <c r="F191" s="456">
        <v>20790</v>
      </c>
      <c r="G191" s="456">
        <v>46490</v>
      </c>
      <c r="H191" s="457">
        <v>46490</v>
      </c>
    </row>
    <row r="192" spans="1:10" x14ac:dyDescent="0.3">
      <c r="B192" s="451" t="s">
        <v>261</v>
      </c>
      <c r="C192" s="456">
        <v>86900</v>
      </c>
      <c r="D192" s="456">
        <v>86900</v>
      </c>
      <c r="E192" s="456">
        <v>27100</v>
      </c>
      <c r="F192" s="456">
        <v>20330</v>
      </c>
      <c r="G192" s="456">
        <v>53840</v>
      </c>
      <c r="H192" s="457">
        <v>53840</v>
      </c>
    </row>
    <row r="193" spans="2:8" x14ac:dyDescent="0.3">
      <c r="B193" s="451" t="s">
        <v>262</v>
      </c>
      <c r="C193" s="456">
        <v>83990</v>
      </c>
      <c r="D193" s="456">
        <v>83990</v>
      </c>
      <c r="E193" s="456">
        <v>31790</v>
      </c>
      <c r="F193" s="456">
        <v>19430</v>
      </c>
      <c r="G193" s="456">
        <v>43770</v>
      </c>
      <c r="H193" s="457">
        <v>43770</v>
      </c>
    </row>
    <row r="194" spans="2:8" x14ac:dyDescent="0.3">
      <c r="B194" s="451" t="s">
        <v>263</v>
      </c>
      <c r="C194" s="456">
        <v>78880</v>
      </c>
      <c r="D194" s="456">
        <v>78880</v>
      </c>
      <c r="E194" s="456">
        <v>28510</v>
      </c>
      <c r="F194" s="456">
        <v>18860</v>
      </c>
      <c r="G194" s="456">
        <v>44860</v>
      </c>
      <c r="H194" s="457">
        <v>44860</v>
      </c>
    </row>
    <row r="195" spans="2:8" x14ac:dyDescent="0.3">
      <c r="B195" s="451" t="s">
        <v>264</v>
      </c>
      <c r="C195" s="456">
        <v>101160</v>
      </c>
      <c r="D195" s="456">
        <v>101160</v>
      </c>
      <c r="E195" s="456">
        <v>33050</v>
      </c>
      <c r="F195" s="456">
        <v>23090</v>
      </c>
      <c r="G195" s="456">
        <v>51630</v>
      </c>
      <c r="H195" s="457">
        <v>51630</v>
      </c>
    </row>
    <row r="196" spans="2:8" x14ac:dyDescent="0.3">
      <c r="B196" s="451" t="s">
        <v>265</v>
      </c>
      <c r="C196" s="456">
        <v>81980</v>
      </c>
      <c r="D196" s="456">
        <v>81980</v>
      </c>
      <c r="E196" s="456">
        <v>27290</v>
      </c>
      <c r="F196" s="456">
        <v>19830</v>
      </c>
      <c r="G196" s="456">
        <v>48480</v>
      </c>
      <c r="H196" s="457">
        <v>48480</v>
      </c>
    </row>
    <row r="197" spans="2:8" x14ac:dyDescent="0.3">
      <c r="B197" s="451" t="s">
        <v>266</v>
      </c>
      <c r="C197" s="456">
        <v>90320</v>
      </c>
      <c r="D197" s="456">
        <v>90320</v>
      </c>
      <c r="E197" s="456">
        <v>31250</v>
      </c>
      <c r="F197" s="456">
        <v>18540</v>
      </c>
      <c r="G197" s="456">
        <v>48020</v>
      </c>
      <c r="H197" s="457">
        <v>48020</v>
      </c>
    </row>
    <row r="198" spans="2:8" x14ac:dyDescent="0.3">
      <c r="B198" s="451" t="s">
        <v>267</v>
      </c>
      <c r="C198" s="456">
        <v>81560</v>
      </c>
      <c r="D198" s="456">
        <v>81560</v>
      </c>
      <c r="E198" s="456">
        <v>27840</v>
      </c>
      <c r="F198" s="456">
        <v>20050</v>
      </c>
      <c r="G198" s="456">
        <v>45570</v>
      </c>
      <c r="H198" s="457">
        <v>45570</v>
      </c>
    </row>
    <row r="199" spans="2:8" x14ac:dyDescent="0.3">
      <c r="B199" s="451" t="s">
        <v>268</v>
      </c>
      <c r="C199" s="456">
        <v>82190</v>
      </c>
      <c r="D199" s="456">
        <v>82190</v>
      </c>
      <c r="E199" s="456">
        <v>28490</v>
      </c>
      <c r="F199" s="456">
        <v>19780</v>
      </c>
      <c r="G199" s="456">
        <v>51770</v>
      </c>
      <c r="H199" s="457">
        <v>51770</v>
      </c>
    </row>
    <row r="200" spans="2:8" x14ac:dyDescent="0.3">
      <c r="B200" s="451" t="s">
        <v>269</v>
      </c>
      <c r="C200" s="456">
        <v>73710</v>
      </c>
      <c r="D200" s="456">
        <v>73710</v>
      </c>
      <c r="E200" s="456">
        <v>24260</v>
      </c>
      <c r="F200" s="456">
        <v>18600</v>
      </c>
      <c r="G200" s="456">
        <v>48710</v>
      </c>
      <c r="H200" s="457">
        <v>48710</v>
      </c>
    </row>
    <row r="201" spans="2:8" x14ac:dyDescent="0.3">
      <c r="B201" s="451" t="s">
        <v>270</v>
      </c>
      <c r="C201" s="456">
        <v>76510</v>
      </c>
      <c r="D201" s="456">
        <v>76510</v>
      </c>
      <c r="E201" s="456">
        <v>29600</v>
      </c>
      <c r="F201" s="456">
        <v>21290</v>
      </c>
      <c r="G201" s="456">
        <v>46720</v>
      </c>
      <c r="H201" s="457">
        <v>46720</v>
      </c>
    </row>
    <row r="202" spans="2:8" x14ac:dyDescent="0.3">
      <c r="B202" s="451" t="s">
        <v>271</v>
      </c>
      <c r="C202" s="456">
        <v>102830</v>
      </c>
      <c r="D202" s="456">
        <v>102830</v>
      </c>
      <c r="E202" s="456">
        <v>31770</v>
      </c>
      <c r="F202" s="456">
        <v>22570</v>
      </c>
      <c r="G202" s="456">
        <v>53940</v>
      </c>
      <c r="H202" s="457">
        <v>53940</v>
      </c>
    </row>
    <row r="203" spans="2:8" x14ac:dyDescent="0.3">
      <c r="B203" s="451" t="s">
        <v>272</v>
      </c>
      <c r="C203" s="456">
        <v>98000</v>
      </c>
      <c r="D203" s="456">
        <v>98000</v>
      </c>
      <c r="E203" s="456">
        <v>35130</v>
      </c>
      <c r="F203" s="456">
        <v>25890</v>
      </c>
      <c r="G203" s="456">
        <v>65650</v>
      </c>
      <c r="H203" s="457">
        <v>65650</v>
      </c>
    </row>
    <row r="204" spans="2:8" x14ac:dyDescent="0.3">
      <c r="B204" s="451" t="s">
        <v>273</v>
      </c>
      <c r="C204" s="456">
        <v>90450</v>
      </c>
      <c r="D204" s="456">
        <v>90450</v>
      </c>
      <c r="E204" s="456">
        <v>31070</v>
      </c>
      <c r="F204" s="456">
        <v>21380</v>
      </c>
      <c r="G204" s="456">
        <v>57190</v>
      </c>
      <c r="H204" s="457">
        <v>57190</v>
      </c>
    </row>
    <row r="205" spans="2:8" x14ac:dyDescent="0.3">
      <c r="B205" s="451" t="s">
        <v>274</v>
      </c>
      <c r="C205" s="456">
        <v>98940</v>
      </c>
      <c r="D205" s="456">
        <v>98940</v>
      </c>
      <c r="E205" s="456">
        <v>31850</v>
      </c>
      <c r="F205" s="456">
        <v>22740</v>
      </c>
      <c r="G205" s="456">
        <v>56300</v>
      </c>
      <c r="H205" s="457">
        <v>56300</v>
      </c>
    </row>
    <row r="206" spans="2:8" x14ac:dyDescent="0.3">
      <c r="B206" s="451" t="s">
        <v>275</v>
      </c>
      <c r="C206" s="456">
        <v>72200</v>
      </c>
      <c r="D206" s="456">
        <v>72200</v>
      </c>
      <c r="E206" s="456">
        <v>24700</v>
      </c>
      <c r="F206" s="456">
        <v>18310</v>
      </c>
      <c r="G206" s="456">
        <v>40450</v>
      </c>
      <c r="H206" s="457">
        <v>40450</v>
      </c>
    </row>
    <row r="207" spans="2:8" x14ac:dyDescent="0.3">
      <c r="B207" s="451" t="s">
        <v>276</v>
      </c>
      <c r="C207" s="456">
        <v>89150</v>
      </c>
      <c r="D207" s="456">
        <v>89150</v>
      </c>
      <c r="E207" s="456">
        <v>29910</v>
      </c>
      <c r="F207" s="456">
        <v>20010</v>
      </c>
      <c r="G207" s="456">
        <v>46220</v>
      </c>
      <c r="H207" s="457">
        <v>46220</v>
      </c>
    </row>
    <row r="208" spans="2:8" x14ac:dyDescent="0.3">
      <c r="B208" s="451" t="s">
        <v>277</v>
      </c>
      <c r="C208" s="456">
        <v>74320</v>
      </c>
      <c r="D208" s="456">
        <v>74320</v>
      </c>
      <c r="E208" s="456">
        <v>28620</v>
      </c>
      <c r="F208" s="456">
        <v>20830</v>
      </c>
      <c r="G208" s="456">
        <v>44520</v>
      </c>
      <c r="H208" s="457">
        <v>44520</v>
      </c>
    </row>
    <row r="209" spans="2:8" x14ac:dyDescent="0.3">
      <c r="B209" s="451" t="s">
        <v>278</v>
      </c>
      <c r="C209" s="456">
        <v>90490</v>
      </c>
      <c r="D209" s="456">
        <v>90490</v>
      </c>
      <c r="E209" s="456">
        <v>25390</v>
      </c>
      <c r="F209" s="456">
        <v>19330</v>
      </c>
      <c r="G209" s="456">
        <v>47230</v>
      </c>
      <c r="H209" s="457">
        <v>47230</v>
      </c>
    </row>
    <row r="210" spans="2:8" x14ac:dyDescent="0.3">
      <c r="B210" s="451" t="s">
        <v>279</v>
      </c>
      <c r="C210" s="456">
        <v>86740</v>
      </c>
      <c r="D210" s="456">
        <v>86740</v>
      </c>
      <c r="E210" s="456">
        <v>32410</v>
      </c>
      <c r="F210" s="456">
        <v>21860</v>
      </c>
      <c r="G210" s="456">
        <v>49450</v>
      </c>
      <c r="H210" s="457">
        <v>49450</v>
      </c>
    </row>
    <row r="211" spans="2:8" x14ac:dyDescent="0.3">
      <c r="B211" s="451" t="s">
        <v>280</v>
      </c>
      <c r="C211" s="456">
        <v>82370</v>
      </c>
      <c r="D211" s="456">
        <v>82370</v>
      </c>
      <c r="E211" s="456">
        <v>35220</v>
      </c>
      <c r="F211" s="456">
        <v>21750</v>
      </c>
      <c r="G211" s="456">
        <v>47840</v>
      </c>
      <c r="H211" s="457">
        <v>47840</v>
      </c>
    </row>
    <row r="212" spans="2:8" x14ac:dyDescent="0.3">
      <c r="B212" s="451" t="s">
        <v>281</v>
      </c>
      <c r="C212" s="456">
        <v>124400</v>
      </c>
      <c r="D212" s="456">
        <v>124400</v>
      </c>
      <c r="E212" s="456">
        <v>33310</v>
      </c>
      <c r="F212" s="456">
        <v>23890</v>
      </c>
      <c r="G212" s="456">
        <v>62790</v>
      </c>
      <c r="H212" s="457">
        <v>62790</v>
      </c>
    </row>
    <row r="213" spans="2:8" x14ac:dyDescent="0.3">
      <c r="B213" s="451" t="s">
        <v>282</v>
      </c>
      <c r="C213" s="456">
        <v>78830</v>
      </c>
      <c r="D213" s="456">
        <v>78830</v>
      </c>
      <c r="E213" s="456">
        <v>25510</v>
      </c>
      <c r="F213" s="456">
        <v>19190</v>
      </c>
      <c r="G213" s="456">
        <v>45690</v>
      </c>
      <c r="H213" s="457">
        <v>45690</v>
      </c>
    </row>
    <row r="214" spans="2:8" x14ac:dyDescent="0.3">
      <c r="B214" s="451" t="s">
        <v>283</v>
      </c>
      <c r="C214" s="456">
        <v>113200</v>
      </c>
      <c r="D214" s="456">
        <v>113200</v>
      </c>
      <c r="E214" s="456">
        <v>31050</v>
      </c>
      <c r="F214" s="456">
        <v>25730</v>
      </c>
      <c r="G214" s="456">
        <v>66990</v>
      </c>
      <c r="H214" s="457">
        <v>66990</v>
      </c>
    </row>
    <row r="215" spans="2:8" x14ac:dyDescent="0.3">
      <c r="B215" s="451" t="s">
        <v>284</v>
      </c>
      <c r="C215" s="456">
        <v>68240</v>
      </c>
      <c r="D215" s="456">
        <v>68240</v>
      </c>
      <c r="E215" s="456">
        <v>27410</v>
      </c>
      <c r="F215" s="456">
        <v>20520</v>
      </c>
      <c r="G215" s="456">
        <v>41260</v>
      </c>
      <c r="H215" s="457">
        <v>41260</v>
      </c>
    </row>
    <row r="216" spans="2:8" x14ac:dyDescent="0.3">
      <c r="B216" s="451" t="s">
        <v>285</v>
      </c>
      <c r="C216" s="456">
        <v>84710</v>
      </c>
      <c r="D216" s="456">
        <v>84710</v>
      </c>
      <c r="E216" s="456">
        <v>25810</v>
      </c>
      <c r="F216" s="456">
        <v>20190</v>
      </c>
      <c r="G216" s="456">
        <v>44410</v>
      </c>
      <c r="H216" s="457">
        <v>44410</v>
      </c>
    </row>
    <row r="217" spans="2:8" x14ac:dyDescent="0.3">
      <c r="B217" s="451" t="s">
        <v>286</v>
      </c>
      <c r="C217" s="456">
        <v>83310</v>
      </c>
      <c r="D217" s="456">
        <v>83310</v>
      </c>
      <c r="E217" s="456">
        <v>29690</v>
      </c>
      <c r="F217" s="456">
        <v>21580</v>
      </c>
      <c r="G217" s="456">
        <v>54820</v>
      </c>
      <c r="H217" s="457">
        <v>54820</v>
      </c>
    </row>
    <row r="218" spans="2:8" x14ac:dyDescent="0.3">
      <c r="B218" s="451" t="s">
        <v>287</v>
      </c>
      <c r="C218" s="456">
        <v>71480</v>
      </c>
      <c r="D218" s="456">
        <v>71480</v>
      </c>
      <c r="E218" s="456">
        <v>27120</v>
      </c>
      <c r="F218" s="456">
        <v>19260</v>
      </c>
      <c r="G218" s="456">
        <v>41230</v>
      </c>
      <c r="H218" s="457">
        <v>41230</v>
      </c>
    </row>
    <row r="219" spans="2:8" x14ac:dyDescent="0.3">
      <c r="B219" s="451" t="s">
        <v>288</v>
      </c>
      <c r="C219" s="456">
        <v>95160</v>
      </c>
      <c r="D219" s="456">
        <v>95160</v>
      </c>
      <c r="E219" s="456">
        <v>32690</v>
      </c>
      <c r="F219" s="456">
        <v>23610</v>
      </c>
      <c r="G219" s="456">
        <v>56290</v>
      </c>
      <c r="H219" s="457">
        <v>56290</v>
      </c>
    </row>
    <row r="220" spans="2:8" x14ac:dyDescent="0.3">
      <c r="B220" s="451" t="s">
        <v>289</v>
      </c>
      <c r="C220" s="456">
        <v>97490</v>
      </c>
      <c r="D220" s="456">
        <v>97490</v>
      </c>
      <c r="E220" s="456">
        <v>31320</v>
      </c>
      <c r="F220" s="456">
        <v>20520</v>
      </c>
      <c r="G220" s="456">
        <v>55070</v>
      </c>
      <c r="H220" s="457">
        <v>55070</v>
      </c>
    </row>
    <row r="221" spans="2:8" x14ac:dyDescent="0.3">
      <c r="B221" s="451" t="s">
        <v>290</v>
      </c>
      <c r="C221" s="456">
        <v>101970</v>
      </c>
      <c r="D221" s="456">
        <v>101970</v>
      </c>
      <c r="E221" s="456">
        <v>33640</v>
      </c>
      <c r="F221" s="456">
        <v>22670</v>
      </c>
      <c r="G221" s="456">
        <v>64290</v>
      </c>
      <c r="H221" s="457">
        <v>64290</v>
      </c>
    </row>
    <row r="222" spans="2:8" x14ac:dyDescent="0.3">
      <c r="B222" s="451" t="s">
        <v>291</v>
      </c>
      <c r="C222" s="456">
        <v>81560</v>
      </c>
      <c r="D222" s="456">
        <v>81560</v>
      </c>
      <c r="E222" s="456">
        <v>27100</v>
      </c>
      <c r="F222" s="456">
        <v>18470</v>
      </c>
      <c r="G222" s="456">
        <v>49510</v>
      </c>
      <c r="H222" s="457">
        <v>49510</v>
      </c>
    </row>
    <row r="223" spans="2:8" x14ac:dyDescent="0.3">
      <c r="B223" s="451" t="s">
        <v>292</v>
      </c>
      <c r="C223" s="456">
        <v>74900</v>
      </c>
      <c r="D223" s="456">
        <v>74900</v>
      </c>
      <c r="E223" s="456">
        <v>23170</v>
      </c>
      <c r="F223" s="456">
        <v>18820</v>
      </c>
      <c r="G223" s="456">
        <v>40200</v>
      </c>
      <c r="H223" s="457">
        <v>40200</v>
      </c>
    </row>
    <row r="224" spans="2:8" x14ac:dyDescent="0.3">
      <c r="B224" s="451" t="s">
        <v>293</v>
      </c>
      <c r="C224" s="456">
        <v>75480</v>
      </c>
      <c r="D224" s="456">
        <v>75480</v>
      </c>
      <c r="E224" s="456">
        <v>29650</v>
      </c>
      <c r="F224" s="456">
        <v>19920</v>
      </c>
      <c r="G224" s="456">
        <v>49310</v>
      </c>
      <c r="H224" s="457">
        <v>49310</v>
      </c>
    </row>
    <row r="225" spans="1:31" x14ac:dyDescent="0.3">
      <c r="B225" s="451" t="s">
        <v>294</v>
      </c>
      <c r="C225" s="456">
        <v>77570</v>
      </c>
      <c r="D225" s="456">
        <v>77570</v>
      </c>
      <c r="E225" s="456">
        <v>31810</v>
      </c>
      <c r="F225" s="456">
        <v>19740</v>
      </c>
      <c r="G225" s="456">
        <v>49970</v>
      </c>
      <c r="H225" s="457">
        <v>49970</v>
      </c>
    </row>
    <row r="226" spans="1:31" x14ac:dyDescent="0.3">
      <c r="B226" s="451" t="s">
        <v>295</v>
      </c>
      <c r="C226" s="456">
        <v>85960</v>
      </c>
      <c r="D226" s="456">
        <v>85960</v>
      </c>
      <c r="E226" s="456">
        <v>27690</v>
      </c>
      <c r="F226" s="456">
        <v>21500</v>
      </c>
      <c r="G226" s="456">
        <v>43710</v>
      </c>
      <c r="H226" s="457">
        <v>43710</v>
      </c>
    </row>
    <row r="227" spans="1:31" x14ac:dyDescent="0.3">
      <c r="B227" s="451" t="s">
        <v>296</v>
      </c>
      <c r="C227" s="456">
        <v>84330</v>
      </c>
      <c r="D227" s="456">
        <v>84330</v>
      </c>
      <c r="E227" s="456">
        <v>30460</v>
      </c>
      <c r="F227" s="456">
        <v>24070</v>
      </c>
      <c r="G227" s="456">
        <v>53920</v>
      </c>
      <c r="H227" s="457">
        <v>53920</v>
      </c>
    </row>
    <row r="228" spans="1:31" x14ac:dyDescent="0.3">
      <c r="B228" s="451" t="s">
        <v>297</v>
      </c>
      <c r="C228" s="456">
        <v>88520</v>
      </c>
      <c r="D228" s="456">
        <v>88520</v>
      </c>
      <c r="E228" s="456">
        <v>31560</v>
      </c>
      <c r="F228" s="456">
        <v>21030</v>
      </c>
      <c r="G228" s="456">
        <v>58760</v>
      </c>
      <c r="H228" s="457">
        <v>58760</v>
      </c>
    </row>
    <row r="229" spans="1:31" x14ac:dyDescent="0.3">
      <c r="B229" s="451" t="s">
        <v>298</v>
      </c>
      <c r="C229" s="456">
        <v>103270</v>
      </c>
      <c r="D229" s="456">
        <v>103270</v>
      </c>
      <c r="E229" s="456">
        <v>32460</v>
      </c>
      <c r="F229" s="456">
        <v>23630</v>
      </c>
      <c r="G229" s="456">
        <v>53960</v>
      </c>
      <c r="H229" s="457">
        <v>53960</v>
      </c>
    </row>
    <row r="230" spans="1:31" x14ac:dyDescent="0.3">
      <c r="B230" s="451" t="s">
        <v>299</v>
      </c>
      <c r="C230" s="456">
        <v>66510</v>
      </c>
      <c r="D230" s="456">
        <v>66510</v>
      </c>
      <c r="E230" s="456">
        <v>25880</v>
      </c>
      <c r="F230" s="456">
        <v>18530</v>
      </c>
      <c r="G230" s="456">
        <v>47040</v>
      </c>
      <c r="H230" s="457">
        <v>47040</v>
      </c>
    </row>
    <row r="231" spans="1:31" x14ac:dyDescent="0.3">
      <c r="B231" s="451" t="s">
        <v>300</v>
      </c>
      <c r="C231" s="456">
        <v>96410</v>
      </c>
      <c r="D231" s="456">
        <v>96410</v>
      </c>
      <c r="E231" s="456">
        <v>31460</v>
      </c>
      <c r="F231" s="456">
        <v>21230</v>
      </c>
      <c r="G231" s="456">
        <v>51790</v>
      </c>
      <c r="H231" s="457">
        <v>51790</v>
      </c>
    </row>
    <row r="232" spans="1:31" ht="15" thickBot="1" x14ac:dyDescent="0.35">
      <c r="B232" s="452" t="s">
        <v>301</v>
      </c>
      <c r="C232" s="460">
        <v>93370</v>
      </c>
      <c r="D232" s="460">
        <v>93370</v>
      </c>
      <c r="E232" s="460">
        <v>31480</v>
      </c>
      <c r="F232" s="460">
        <v>21840</v>
      </c>
      <c r="G232" s="460">
        <v>55760</v>
      </c>
      <c r="H232" s="461">
        <v>55760</v>
      </c>
    </row>
    <row r="234" spans="1:31" x14ac:dyDescent="0.3">
      <c r="W234" s="607" t="s">
        <v>870</v>
      </c>
      <c r="X234" s="608">
        <f>AVERAGE(X239:X289)</f>
        <v>0.6922674861130319</v>
      </c>
      <c r="Y234" s="608">
        <f t="shared" ref="Y234:AA234" si="0">AVERAGE(Y239:Y289)</f>
        <v>0.83660640259506625</v>
      </c>
      <c r="Z234" s="608">
        <f t="shared" si="0"/>
        <v>1.0383358227640169</v>
      </c>
      <c r="AA234" s="608">
        <f t="shared" si="0"/>
        <v>1.1967643924396085</v>
      </c>
    </row>
    <row r="235" spans="1:31" ht="18" x14ac:dyDescent="0.35">
      <c r="A235" s="17" t="s">
        <v>858</v>
      </c>
      <c r="N235" s="17" t="s">
        <v>859</v>
      </c>
      <c r="W235" s="607" t="s">
        <v>871</v>
      </c>
      <c r="X235" s="608">
        <f>MEDIAN(X239:X289)</f>
        <v>0.71369091989134437</v>
      </c>
      <c r="Y235" s="608">
        <f t="shared" ref="Y235:AE235" si="1">MEDIAN(Y239:Y289)</f>
        <v>0.8575769867275912</v>
      </c>
      <c r="Z235" s="608">
        <f t="shared" si="1"/>
        <v>1.0484337415808089</v>
      </c>
      <c r="AA235" s="608">
        <f t="shared" si="1"/>
        <v>1.1920216433051918</v>
      </c>
      <c r="AB235" s="609">
        <f t="shared" si="1"/>
        <v>0.71369091989134437</v>
      </c>
      <c r="AC235" s="610">
        <f t="shared" si="1"/>
        <v>0.8575769867275912</v>
      </c>
      <c r="AD235" s="610">
        <f t="shared" si="1"/>
        <v>1.0484337415808089</v>
      </c>
      <c r="AE235" s="610">
        <f t="shared" si="1"/>
        <v>1.1920216433051918</v>
      </c>
    </row>
    <row r="236" spans="1:31" ht="15.6" x14ac:dyDescent="0.3">
      <c r="A236" s="236" t="s">
        <v>1072</v>
      </c>
      <c r="N236" t="s">
        <v>872</v>
      </c>
    </row>
    <row r="237" spans="1:31" ht="15" thickBot="1" x14ac:dyDescent="0.35">
      <c r="U237" s="784" t="s">
        <v>867</v>
      </c>
      <c r="V237" s="785"/>
      <c r="W237" s="786"/>
      <c r="X237" s="784" t="s">
        <v>868</v>
      </c>
      <c r="Y237" s="785"/>
      <c r="Z237" s="785"/>
      <c r="AA237" s="786"/>
      <c r="AB237" s="787" t="s">
        <v>869</v>
      </c>
      <c r="AC237" s="788"/>
      <c r="AD237" s="788"/>
      <c r="AE237" s="789"/>
    </row>
    <row r="238" spans="1:31" ht="87" thickBot="1" x14ac:dyDescent="0.35">
      <c r="C238" s="453" t="s">
        <v>409</v>
      </c>
      <c r="D238" s="454" t="s">
        <v>410</v>
      </c>
      <c r="E238" s="454" t="s">
        <v>411</v>
      </c>
      <c r="F238" s="454" t="s">
        <v>412</v>
      </c>
      <c r="G238" s="454" t="s">
        <v>413</v>
      </c>
      <c r="H238" s="454" t="s">
        <v>414</v>
      </c>
      <c r="I238" s="454" t="s">
        <v>415</v>
      </c>
      <c r="J238" s="454" t="s">
        <v>416</v>
      </c>
      <c r="K238" s="454" t="s">
        <v>417</v>
      </c>
      <c r="L238" s="455" t="s">
        <v>418</v>
      </c>
      <c r="O238" s="602" t="s">
        <v>846</v>
      </c>
      <c r="P238" s="603" t="s">
        <v>847</v>
      </c>
      <c r="Q238" s="603" t="s">
        <v>848</v>
      </c>
      <c r="R238" s="603" t="s">
        <v>849</v>
      </c>
      <c r="S238" s="603" t="s">
        <v>850</v>
      </c>
      <c r="T238" s="615" t="s">
        <v>855</v>
      </c>
      <c r="U238" s="625" t="s">
        <v>860</v>
      </c>
      <c r="V238" s="626" t="s">
        <v>861</v>
      </c>
      <c r="W238" s="627" t="s">
        <v>862</v>
      </c>
      <c r="X238" s="628" t="s">
        <v>863</v>
      </c>
      <c r="Y238" s="629" t="s">
        <v>864</v>
      </c>
      <c r="Z238" s="630" t="s">
        <v>865</v>
      </c>
      <c r="AA238" s="630" t="s">
        <v>866</v>
      </c>
      <c r="AB238" s="628" t="s">
        <v>863</v>
      </c>
      <c r="AC238" s="629" t="s">
        <v>864</v>
      </c>
      <c r="AD238" s="630" t="s">
        <v>865</v>
      </c>
      <c r="AE238" s="631" t="s">
        <v>866</v>
      </c>
    </row>
    <row r="239" spans="1:31" x14ac:dyDescent="0.3">
      <c r="B239" s="450" t="s">
        <v>252</v>
      </c>
      <c r="C239" s="544">
        <v>100256</v>
      </c>
      <c r="D239" s="456">
        <v>76608</v>
      </c>
      <c r="E239" s="456">
        <v>47467</v>
      </c>
      <c r="F239" s="456">
        <v>39677</v>
      </c>
      <c r="G239" s="456">
        <v>42842</v>
      </c>
      <c r="H239" s="456">
        <v>34982</v>
      </c>
      <c r="I239" s="456">
        <v>72718</v>
      </c>
      <c r="J239" s="576">
        <v>40000</v>
      </c>
      <c r="K239" s="456">
        <v>23160</v>
      </c>
      <c r="L239" s="456">
        <v>15753</v>
      </c>
      <c r="N239" s="450" t="s">
        <v>252</v>
      </c>
      <c r="O239" s="458">
        <v>23160</v>
      </c>
      <c r="P239" s="458">
        <v>17016</v>
      </c>
      <c r="Q239" s="458">
        <v>20064</v>
      </c>
      <c r="R239" s="458">
        <v>24222</v>
      </c>
      <c r="S239" s="458">
        <v>25897</v>
      </c>
      <c r="T239" s="616">
        <v>15753</v>
      </c>
      <c r="U239" s="619">
        <f t="shared" ref="U239" si="2">IFERROR(Q239/P239,"")</f>
        <v>1.1791255289139633</v>
      </c>
      <c r="V239" s="620">
        <f t="shared" ref="V239" si="3">IFERROR(R239/Q239,"")</f>
        <v>1.2072368421052631</v>
      </c>
      <c r="W239" s="621">
        <f>IFERROR(P239/T239,"")</f>
        <v>1.0801752047229098</v>
      </c>
      <c r="X239" s="609">
        <f>IF(OR($U239&lt;1,$V239&lt;1),"",IFERROR(P239/$O239,""))</f>
        <v>0.73471502590673576</v>
      </c>
      <c r="Y239" s="610">
        <f>IF(OR($U239&lt;1,$V239&lt;1),"",IFERROR(Q239/$O239,""))</f>
        <v>0.86632124352331608</v>
      </c>
      <c r="Z239" s="610">
        <f>IF(OR($U239&lt;1,$V239&lt;1),"",IFERROR(R239/$O239,""))</f>
        <v>1.0458549222797928</v>
      </c>
      <c r="AA239" s="610">
        <f>IF(OR($U239&lt;1,$V239&lt;1,$W239&lt;1),"",IFERROR(P239/$T239,""))</f>
        <v>1.0801752047229098</v>
      </c>
      <c r="AB239" s="609">
        <f>IF(X239="",X$235,X239)</f>
        <v>0.73471502590673576</v>
      </c>
      <c r="AC239" s="610">
        <f>IF(OR(Y239="",Y239&lt;X239),Y$235,Y239)</f>
        <v>0.86632124352331608</v>
      </c>
      <c r="AD239" s="610">
        <f>IF(OR(Z239="",Z239&lt;1),Z$235,Z239)</f>
        <v>1.0458549222797928</v>
      </c>
      <c r="AE239" s="611">
        <f>IF(OR(AA239="",AA239&lt;1),AA$235,AA239)</f>
        <v>1.0801752047229098</v>
      </c>
    </row>
    <row r="240" spans="1:31" x14ac:dyDescent="0.3">
      <c r="B240" s="451" t="s">
        <v>253</v>
      </c>
      <c r="C240" s="541">
        <v>111067</v>
      </c>
      <c r="D240" s="34">
        <v>78504</v>
      </c>
      <c r="E240" s="34">
        <v>52556</v>
      </c>
      <c r="F240" s="34">
        <v>47142</v>
      </c>
      <c r="G240" s="34">
        <v>64206</v>
      </c>
      <c r="H240" s="34">
        <v>41044</v>
      </c>
      <c r="I240" s="34">
        <v>86127</v>
      </c>
      <c r="J240" s="577">
        <v>40000</v>
      </c>
      <c r="K240" s="456">
        <v>27615</v>
      </c>
      <c r="L240" s="456">
        <v>19138</v>
      </c>
      <c r="N240" s="451" t="s">
        <v>253</v>
      </c>
      <c r="O240" s="34">
        <v>27615</v>
      </c>
      <c r="P240" s="34">
        <v>23690</v>
      </c>
      <c r="Q240" s="34">
        <v>26306</v>
      </c>
      <c r="R240" s="34">
        <v>30441</v>
      </c>
      <c r="S240" s="34">
        <v>32079</v>
      </c>
      <c r="T240" s="617">
        <v>19138</v>
      </c>
      <c r="U240" s="619">
        <f t="shared" ref="U240:U289" si="4">IFERROR(Q240/P240,"")</f>
        <v>1.1104263402279442</v>
      </c>
      <c r="V240" s="620">
        <f t="shared" ref="V240:V289" si="5">IFERROR(R240/Q240,"")</f>
        <v>1.1571884741123697</v>
      </c>
      <c r="W240" s="621">
        <f t="shared" ref="W240:W289" si="6">IFERROR(P240/T240,"")</f>
        <v>1.2378513951301076</v>
      </c>
      <c r="X240" s="609">
        <f t="shared" ref="X240:X289" si="7">IF(OR($U240&lt;1,$V240&lt;1),"",IFERROR(P240/$O240,""))</f>
        <v>0.85786710121310883</v>
      </c>
      <c r="Y240" s="610">
        <f t="shared" ref="Y240:Y289" si="8">IF(OR($U240&lt;1,$V240&lt;1),"",IFERROR(Q240/$O240,""))</f>
        <v>0.95259822560202789</v>
      </c>
      <c r="Z240" s="610">
        <f t="shared" ref="Z240:Z289" si="9">IF(OR($U240&lt;1,$V240&lt;1),"",IFERROR(R240/$O240,""))</f>
        <v>1.1023356871265617</v>
      </c>
      <c r="AA240" s="610">
        <f t="shared" ref="AA240:AA292" si="10">IF(OR($U240&lt;1,$V240&lt;1,$W240&lt;1),"",IFERROR(P240/$T240,""))</f>
        <v>1.2378513951301076</v>
      </c>
      <c r="AB240" s="609">
        <f t="shared" ref="AB240:AB289" si="11">IF(X240="",X$235,X240)</f>
        <v>0.85786710121310883</v>
      </c>
      <c r="AC240" s="610">
        <f t="shared" ref="AC240:AC289" si="12">IF(OR(Y240="",Y240&lt;X240),Y$235,Y240)</f>
        <v>0.95259822560202789</v>
      </c>
      <c r="AD240" s="610">
        <f t="shared" ref="AD240:AD289" si="13">IF(OR(Z240="",Z240&lt;1),Z$235,Z240)</f>
        <v>1.1023356871265617</v>
      </c>
      <c r="AE240" s="611">
        <f t="shared" ref="AE240:AE289" si="14">IF(OR(AA240="",AA240&lt;1),AA$235,AA240)</f>
        <v>1.2378513951301076</v>
      </c>
    </row>
    <row r="241" spans="2:31" x14ac:dyDescent="0.3">
      <c r="B241" s="451" t="s">
        <v>254</v>
      </c>
      <c r="C241" s="541">
        <v>130680</v>
      </c>
      <c r="D241" s="34">
        <v>80454</v>
      </c>
      <c r="E241" s="34">
        <v>56230</v>
      </c>
      <c r="F241" s="34">
        <v>61552</v>
      </c>
      <c r="G241" s="34">
        <v>61876</v>
      </c>
      <c r="H241" s="34">
        <v>56785</v>
      </c>
      <c r="I241" s="34">
        <v>83847</v>
      </c>
      <c r="J241" s="577">
        <v>40000</v>
      </c>
      <c r="K241" s="456">
        <v>29686</v>
      </c>
      <c r="L241" s="456">
        <v>17123</v>
      </c>
      <c r="N241" s="451" t="s">
        <v>254</v>
      </c>
      <c r="O241" s="34">
        <v>29686</v>
      </c>
      <c r="P241" s="34">
        <v>19118</v>
      </c>
      <c r="Q241" s="34">
        <v>25271</v>
      </c>
      <c r="R241" s="34">
        <v>30433</v>
      </c>
      <c r="S241" s="34">
        <v>35722</v>
      </c>
      <c r="T241" s="617">
        <v>17123</v>
      </c>
      <c r="U241" s="619">
        <f t="shared" si="4"/>
        <v>1.3218432890469713</v>
      </c>
      <c r="V241" s="620">
        <f t="shared" si="5"/>
        <v>1.2042657591705908</v>
      </c>
      <c r="W241" s="621">
        <f t="shared" si="6"/>
        <v>1.1165099573672839</v>
      </c>
      <c r="X241" s="609">
        <f t="shared" si="7"/>
        <v>0.64400727615711106</v>
      </c>
      <c r="Y241" s="610">
        <f t="shared" si="8"/>
        <v>0.851276696085697</v>
      </c>
      <c r="Z241" s="610">
        <f t="shared" si="9"/>
        <v>1.0251633766758741</v>
      </c>
      <c r="AA241" s="610">
        <f t="shared" si="10"/>
        <v>1.1165099573672839</v>
      </c>
      <c r="AB241" s="609">
        <f t="shared" si="11"/>
        <v>0.64400727615711106</v>
      </c>
      <c r="AC241" s="610">
        <f t="shared" si="12"/>
        <v>0.851276696085697</v>
      </c>
      <c r="AD241" s="610">
        <f t="shared" si="13"/>
        <v>1.0251633766758741</v>
      </c>
      <c r="AE241" s="611">
        <f t="shared" si="14"/>
        <v>1.1165099573672839</v>
      </c>
    </row>
    <row r="242" spans="2:31" x14ac:dyDescent="0.3">
      <c r="B242" s="451" t="s">
        <v>255</v>
      </c>
      <c r="C242" s="541">
        <v>87141</v>
      </c>
      <c r="D242" s="34">
        <v>61237</v>
      </c>
      <c r="E242" s="34">
        <v>41267</v>
      </c>
      <c r="F242" s="34">
        <v>37020</v>
      </c>
      <c r="G242" s="34">
        <v>43112</v>
      </c>
      <c r="H242" s="34">
        <v>38170</v>
      </c>
      <c r="I242" s="34">
        <v>57701</v>
      </c>
      <c r="J242" s="577">
        <v>40000</v>
      </c>
      <c r="K242" s="456">
        <v>26473</v>
      </c>
      <c r="L242" s="456">
        <v>16709</v>
      </c>
      <c r="N242" s="451" t="s">
        <v>255</v>
      </c>
      <c r="O242" s="34">
        <v>26473</v>
      </c>
      <c r="P242" s="34">
        <v>21691</v>
      </c>
      <c r="Q242" s="34">
        <v>23837</v>
      </c>
      <c r="R242" s="34">
        <v>28604</v>
      </c>
      <c r="S242" s="34">
        <v>32873</v>
      </c>
      <c r="T242" s="617">
        <v>16709</v>
      </c>
      <c r="U242" s="619">
        <f t="shared" si="4"/>
        <v>1.0989350421833941</v>
      </c>
      <c r="V242" s="620">
        <f t="shared" si="5"/>
        <v>1.199983219364853</v>
      </c>
      <c r="W242" s="621">
        <f t="shared" si="6"/>
        <v>1.2981626668262614</v>
      </c>
      <c r="X242" s="609">
        <f t="shared" si="7"/>
        <v>0.81936312469308348</v>
      </c>
      <c r="Y242" s="610">
        <f t="shared" si="8"/>
        <v>0.90042684999811129</v>
      </c>
      <c r="Z242" s="610">
        <f t="shared" si="9"/>
        <v>1.0804971102632872</v>
      </c>
      <c r="AA242" s="610">
        <f t="shared" si="10"/>
        <v>1.2981626668262614</v>
      </c>
      <c r="AB242" s="609">
        <f t="shared" si="11"/>
        <v>0.81936312469308348</v>
      </c>
      <c r="AC242" s="610">
        <f t="shared" si="12"/>
        <v>0.90042684999811129</v>
      </c>
      <c r="AD242" s="610">
        <f t="shared" si="13"/>
        <v>1.0804971102632872</v>
      </c>
      <c r="AE242" s="611">
        <f t="shared" si="14"/>
        <v>1.2981626668262614</v>
      </c>
    </row>
    <row r="243" spans="2:31" x14ac:dyDescent="0.3">
      <c r="B243" s="451" t="s">
        <v>256</v>
      </c>
      <c r="C243" s="541">
        <v>140402</v>
      </c>
      <c r="D243" s="34">
        <v>92503</v>
      </c>
      <c r="E243" s="34">
        <v>62543</v>
      </c>
      <c r="F243" s="34">
        <v>57916</v>
      </c>
      <c r="G243" s="34">
        <v>59552</v>
      </c>
      <c r="H243" s="34">
        <v>54080</v>
      </c>
      <c r="I243" s="34">
        <v>89596</v>
      </c>
      <c r="J243" s="577">
        <v>40000</v>
      </c>
      <c r="K243" s="456">
        <v>34057</v>
      </c>
      <c r="L243" s="456">
        <v>23205</v>
      </c>
      <c r="N243" s="451" t="s">
        <v>256</v>
      </c>
      <c r="O243" s="34">
        <v>34057</v>
      </c>
      <c r="P243" s="34">
        <v>31480</v>
      </c>
      <c r="Q243" s="34">
        <v>31899</v>
      </c>
      <c r="R243" s="34">
        <v>36249</v>
      </c>
      <c r="S243" s="34">
        <v>39655</v>
      </c>
      <c r="T243" s="617">
        <v>23205</v>
      </c>
      <c r="U243" s="619">
        <f t="shared" si="4"/>
        <v>1.0133100381194409</v>
      </c>
      <c r="V243" s="620">
        <f t="shared" si="5"/>
        <v>1.1363679112197875</v>
      </c>
      <c r="W243" s="621">
        <f t="shared" si="6"/>
        <v>1.356604180133592</v>
      </c>
      <c r="X243" s="609">
        <f t="shared" si="7"/>
        <v>0.92433273629503476</v>
      </c>
      <c r="Y243" s="610">
        <f t="shared" si="8"/>
        <v>0.93663564025016888</v>
      </c>
      <c r="Z243" s="610">
        <f t="shared" si="9"/>
        <v>1.0643626860850925</v>
      </c>
      <c r="AA243" s="610">
        <f t="shared" si="10"/>
        <v>1.356604180133592</v>
      </c>
      <c r="AB243" s="609">
        <f t="shared" si="11"/>
        <v>0.92433273629503476</v>
      </c>
      <c r="AC243" s="610">
        <f t="shared" si="12"/>
        <v>0.93663564025016888</v>
      </c>
      <c r="AD243" s="610">
        <f t="shared" si="13"/>
        <v>1.0643626860850925</v>
      </c>
      <c r="AE243" s="611">
        <f t="shared" si="14"/>
        <v>1.356604180133592</v>
      </c>
    </row>
    <row r="244" spans="2:31" x14ac:dyDescent="0.3">
      <c r="B244" s="451" t="s">
        <v>257</v>
      </c>
      <c r="C244" s="541">
        <v>99908</v>
      </c>
      <c r="D244" s="34">
        <v>65214</v>
      </c>
      <c r="E244" s="34">
        <v>46544</v>
      </c>
      <c r="F244" s="34">
        <v>43556</v>
      </c>
      <c r="G244" s="34">
        <v>41333</v>
      </c>
      <c r="H244" s="34">
        <v>45612</v>
      </c>
      <c r="I244" s="34">
        <v>64622</v>
      </c>
      <c r="J244" s="577">
        <v>40000</v>
      </c>
      <c r="K244" s="456">
        <v>32010</v>
      </c>
      <c r="L244" s="456">
        <v>18526</v>
      </c>
      <c r="N244" s="451" t="s">
        <v>257</v>
      </c>
      <c r="O244" s="34">
        <v>32010</v>
      </c>
      <c r="P244" s="34">
        <v>20445</v>
      </c>
      <c r="Q244" s="34">
        <v>24355</v>
      </c>
      <c r="R244" s="34">
        <v>31255</v>
      </c>
      <c r="S244" s="34">
        <v>45734</v>
      </c>
      <c r="T244" s="617">
        <v>18526</v>
      </c>
      <c r="U244" s="619">
        <f t="shared" si="4"/>
        <v>1.1912448031303497</v>
      </c>
      <c r="V244" s="620">
        <f t="shared" si="5"/>
        <v>1.2833093820570725</v>
      </c>
      <c r="W244" s="621">
        <f t="shared" si="6"/>
        <v>1.1035841520025909</v>
      </c>
      <c r="X244" s="609">
        <f t="shared" si="7"/>
        <v>0.63870665417057171</v>
      </c>
      <c r="Y244" s="610">
        <f t="shared" si="8"/>
        <v>0.76085598250546704</v>
      </c>
      <c r="Z244" s="610">
        <f t="shared" si="9"/>
        <v>0.97641362074351767</v>
      </c>
      <c r="AA244" s="610">
        <f t="shared" si="10"/>
        <v>1.1035841520025909</v>
      </c>
      <c r="AB244" s="609">
        <f t="shared" si="11"/>
        <v>0.63870665417057171</v>
      </c>
      <c r="AC244" s="610">
        <f t="shared" si="12"/>
        <v>0.76085598250546704</v>
      </c>
      <c r="AD244" s="610">
        <f t="shared" si="13"/>
        <v>1.0484337415808089</v>
      </c>
      <c r="AE244" s="611">
        <f t="shared" si="14"/>
        <v>1.1035841520025909</v>
      </c>
    </row>
    <row r="245" spans="2:31" x14ac:dyDescent="0.3">
      <c r="B245" s="451" t="s">
        <v>258</v>
      </c>
      <c r="C245" s="541">
        <v>133963</v>
      </c>
      <c r="D245" s="34">
        <v>86832</v>
      </c>
      <c r="E245" s="34">
        <v>53650</v>
      </c>
      <c r="F245" s="34">
        <v>51724</v>
      </c>
      <c r="G245" s="34">
        <v>49826</v>
      </c>
      <c r="H245" s="34">
        <v>58658</v>
      </c>
      <c r="I245" s="34">
        <v>98220</v>
      </c>
      <c r="J245" s="577">
        <v>40000</v>
      </c>
      <c r="K245" s="456">
        <v>36367</v>
      </c>
      <c r="L245" s="456">
        <v>22262</v>
      </c>
      <c r="N245" s="451" t="s">
        <v>258</v>
      </c>
      <c r="O245" s="34">
        <v>36367</v>
      </c>
      <c r="P245" s="34">
        <v>26506</v>
      </c>
      <c r="Q245" s="34">
        <v>28259</v>
      </c>
      <c r="R245" s="34">
        <v>29966</v>
      </c>
      <c r="S245" s="34">
        <v>54965</v>
      </c>
      <c r="T245" s="617">
        <v>22262</v>
      </c>
      <c r="U245" s="619">
        <f t="shared" si="4"/>
        <v>1.0661359692145174</v>
      </c>
      <c r="V245" s="620">
        <f t="shared" si="5"/>
        <v>1.0604055345199759</v>
      </c>
      <c r="W245" s="621">
        <f t="shared" si="6"/>
        <v>1.19063875662564</v>
      </c>
      <c r="X245" s="609">
        <f t="shared" si="7"/>
        <v>0.72884758159870211</v>
      </c>
      <c r="Y245" s="610">
        <f t="shared" si="8"/>
        <v>0.77705062281738935</v>
      </c>
      <c r="Z245" s="610">
        <f t="shared" si="9"/>
        <v>0.82398878103775397</v>
      </c>
      <c r="AA245" s="610">
        <f t="shared" si="10"/>
        <v>1.19063875662564</v>
      </c>
      <c r="AB245" s="609">
        <f t="shared" si="11"/>
        <v>0.72884758159870211</v>
      </c>
      <c r="AC245" s="610">
        <f t="shared" si="12"/>
        <v>0.77705062281738935</v>
      </c>
      <c r="AD245" s="610">
        <f t="shared" si="13"/>
        <v>1.0484337415808089</v>
      </c>
      <c r="AE245" s="611">
        <f t="shared" si="14"/>
        <v>1.19063875662564</v>
      </c>
    </row>
    <row r="246" spans="2:31" x14ac:dyDescent="0.3">
      <c r="B246" s="451" t="s">
        <v>259</v>
      </c>
      <c r="C246" s="541">
        <v>89480</v>
      </c>
      <c r="D246" s="34" t="s">
        <v>812</v>
      </c>
      <c r="E246" s="34">
        <v>46213</v>
      </c>
      <c r="F246" s="34">
        <v>49168</v>
      </c>
      <c r="G246" s="34">
        <v>52402</v>
      </c>
      <c r="H246" s="34">
        <v>51147</v>
      </c>
      <c r="I246" s="34">
        <v>63550</v>
      </c>
      <c r="J246" s="577">
        <v>40000</v>
      </c>
      <c r="K246" s="456">
        <v>24603</v>
      </c>
      <c r="L246" s="456">
        <v>13191</v>
      </c>
      <c r="N246" s="451" t="s">
        <v>259</v>
      </c>
      <c r="O246" s="34">
        <v>24603</v>
      </c>
      <c r="P246" s="34" t="s">
        <v>812</v>
      </c>
      <c r="Q246" s="34">
        <v>23523</v>
      </c>
      <c r="R246" s="34">
        <v>28870</v>
      </c>
      <c r="S246" s="34">
        <v>22442</v>
      </c>
      <c r="T246" s="617">
        <v>13191</v>
      </c>
      <c r="U246" s="619" t="str">
        <f t="shared" si="4"/>
        <v/>
      </c>
      <c r="V246" s="620">
        <f t="shared" si="5"/>
        <v>1.2273094418228967</v>
      </c>
      <c r="W246" s="621" t="str">
        <f t="shared" si="6"/>
        <v/>
      </c>
      <c r="X246" s="609" t="str">
        <f t="shared" si="7"/>
        <v/>
      </c>
      <c r="Y246" s="610">
        <f t="shared" si="8"/>
        <v>0.9561029142787465</v>
      </c>
      <c r="Z246" s="610">
        <f t="shared" si="9"/>
        <v>1.1734341340486933</v>
      </c>
      <c r="AA246" s="610" t="str">
        <f t="shared" si="10"/>
        <v/>
      </c>
      <c r="AB246" s="609">
        <f t="shared" si="11"/>
        <v>0.71369091989134437</v>
      </c>
      <c r="AC246" s="610">
        <f t="shared" si="12"/>
        <v>0.8575769867275912</v>
      </c>
      <c r="AD246" s="610">
        <f t="shared" si="13"/>
        <v>1.1734341340486933</v>
      </c>
      <c r="AE246" s="611">
        <f t="shared" si="14"/>
        <v>1.1920216433051918</v>
      </c>
    </row>
    <row r="247" spans="2:31" x14ac:dyDescent="0.3">
      <c r="B247" s="451" t="s">
        <v>1081</v>
      </c>
      <c r="C247" s="541">
        <v>110204</v>
      </c>
      <c r="D247" s="34">
        <v>98124</v>
      </c>
      <c r="E247" s="34">
        <v>74661</v>
      </c>
      <c r="F247" s="34">
        <v>61149</v>
      </c>
      <c r="G247" s="34">
        <v>65519</v>
      </c>
      <c r="H247" s="34">
        <v>78654</v>
      </c>
      <c r="I247" s="34">
        <v>77512</v>
      </c>
      <c r="J247" s="577">
        <v>40000</v>
      </c>
      <c r="K247" s="456">
        <v>83270</v>
      </c>
      <c r="L247" s="456">
        <v>29193</v>
      </c>
      <c r="N247" s="451" t="s">
        <v>1081</v>
      </c>
      <c r="O247" s="34">
        <v>82320</v>
      </c>
      <c r="P247" s="34" t="s">
        <v>812</v>
      </c>
      <c r="Q247" s="34">
        <v>32649</v>
      </c>
      <c r="R247" s="34">
        <v>84056</v>
      </c>
      <c r="S247" s="34">
        <v>83270</v>
      </c>
      <c r="T247" s="617">
        <v>29193</v>
      </c>
      <c r="U247" s="619" t="str">
        <f t="shared" si="4"/>
        <v/>
      </c>
      <c r="V247" s="620">
        <f t="shared" si="5"/>
        <v>2.574535207816472</v>
      </c>
      <c r="W247" s="621" t="str">
        <f t="shared" si="6"/>
        <v/>
      </c>
      <c r="X247" s="609" t="str">
        <f t="shared" si="7"/>
        <v/>
      </c>
      <c r="Y247" s="610">
        <f t="shared" si="8"/>
        <v>0.39661078717201165</v>
      </c>
      <c r="Z247" s="610">
        <f t="shared" si="9"/>
        <v>1.0210884353741496</v>
      </c>
      <c r="AA247" s="610" t="str">
        <f t="shared" si="10"/>
        <v/>
      </c>
      <c r="AB247" s="609">
        <f t="shared" si="11"/>
        <v>0.71369091989134437</v>
      </c>
      <c r="AC247" s="610">
        <f t="shared" si="12"/>
        <v>0.8575769867275912</v>
      </c>
      <c r="AD247" s="610">
        <f t="shared" si="13"/>
        <v>1.0210884353741496</v>
      </c>
      <c r="AE247" s="611">
        <f t="shared" si="14"/>
        <v>1.1920216433051918</v>
      </c>
    </row>
    <row r="248" spans="2:31" x14ac:dyDescent="0.3">
      <c r="B248" s="451" t="s">
        <v>260</v>
      </c>
      <c r="C248" s="541">
        <v>114073</v>
      </c>
      <c r="D248" s="34">
        <v>79082</v>
      </c>
      <c r="E248" s="34">
        <v>53156</v>
      </c>
      <c r="F248" s="34">
        <v>42515</v>
      </c>
      <c r="G248" s="34">
        <v>48200</v>
      </c>
      <c r="H248" s="34">
        <v>43771</v>
      </c>
      <c r="I248" s="34">
        <v>66811</v>
      </c>
      <c r="J248" s="577">
        <v>40000</v>
      </c>
      <c r="K248" s="456">
        <v>33628</v>
      </c>
      <c r="L248" s="456">
        <v>19960</v>
      </c>
      <c r="N248" s="451" t="s">
        <v>260</v>
      </c>
      <c r="O248" s="34">
        <v>33628</v>
      </c>
      <c r="P248" s="34">
        <v>21163</v>
      </c>
      <c r="Q248" s="34">
        <v>24824</v>
      </c>
      <c r="R248" s="34">
        <v>35601</v>
      </c>
      <c r="S248" s="34">
        <v>42601</v>
      </c>
      <c r="T248" s="617">
        <v>19960</v>
      </c>
      <c r="U248" s="619">
        <f t="shared" si="4"/>
        <v>1.1729905967962955</v>
      </c>
      <c r="V248" s="620">
        <f t="shared" si="5"/>
        <v>1.4341363196906221</v>
      </c>
      <c r="W248" s="621">
        <f t="shared" si="6"/>
        <v>1.0602705410821642</v>
      </c>
      <c r="X248" s="609">
        <f t="shared" si="7"/>
        <v>0.62932675151659334</v>
      </c>
      <c r="Y248" s="610">
        <f t="shared" si="8"/>
        <v>0.7381943618413227</v>
      </c>
      <c r="Z248" s="610">
        <f t="shared" si="9"/>
        <v>1.0586713453074819</v>
      </c>
      <c r="AA248" s="610">
        <f t="shared" si="10"/>
        <v>1.0602705410821642</v>
      </c>
      <c r="AB248" s="609">
        <f t="shared" si="11"/>
        <v>0.62932675151659334</v>
      </c>
      <c r="AC248" s="610">
        <f t="shared" si="12"/>
        <v>0.7381943618413227</v>
      </c>
      <c r="AD248" s="610">
        <f t="shared" si="13"/>
        <v>1.0586713453074819</v>
      </c>
      <c r="AE248" s="611">
        <f t="shared" si="14"/>
        <v>1.0602705410821642</v>
      </c>
    </row>
    <row r="249" spans="2:31" x14ac:dyDescent="0.3">
      <c r="B249" s="451" t="s">
        <v>261</v>
      </c>
      <c r="C249" s="541">
        <v>113331</v>
      </c>
      <c r="D249" s="34">
        <v>74737</v>
      </c>
      <c r="E249" s="34">
        <v>45917</v>
      </c>
      <c r="F249" s="34">
        <v>41052</v>
      </c>
      <c r="G249" s="34">
        <v>42315</v>
      </c>
      <c r="H249" s="34">
        <v>43556</v>
      </c>
      <c r="I249" s="34">
        <v>72297</v>
      </c>
      <c r="J249" s="577">
        <v>40000</v>
      </c>
      <c r="K249" s="456">
        <v>27270</v>
      </c>
      <c r="L249" s="456">
        <v>17680</v>
      </c>
      <c r="N249" s="451" t="s">
        <v>261</v>
      </c>
      <c r="O249" s="34">
        <v>27270</v>
      </c>
      <c r="P249" s="34">
        <v>18149</v>
      </c>
      <c r="Q249" s="34">
        <v>22297</v>
      </c>
      <c r="R249" s="34">
        <v>28261</v>
      </c>
      <c r="S249" s="34">
        <v>32855</v>
      </c>
      <c r="T249" s="617">
        <v>17680</v>
      </c>
      <c r="U249" s="619">
        <f t="shared" si="4"/>
        <v>1.2285525373298805</v>
      </c>
      <c r="V249" s="620">
        <f t="shared" si="5"/>
        <v>1.2674799300354307</v>
      </c>
      <c r="W249" s="621">
        <f t="shared" si="6"/>
        <v>1.0265271493212669</v>
      </c>
      <c r="X249" s="609">
        <f t="shared" si="7"/>
        <v>0.66552988632196552</v>
      </c>
      <c r="Y249" s="610">
        <f t="shared" si="8"/>
        <v>0.81763843050971763</v>
      </c>
      <c r="Z249" s="610">
        <f t="shared" si="9"/>
        <v>1.0363403006967364</v>
      </c>
      <c r="AA249" s="610">
        <f t="shared" si="10"/>
        <v>1.0265271493212669</v>
      </c>
      <c r="AB249" s="609">
        <f t="shared" si="11"/>
        <v>0.66552988632196552</v>
      </c>
      <c r="AC249" s="610">
        <f t="shared" si="12"/>
        <v>0.81763843050971763</v>
      </c>
      <c r="AD249" s="610">
        <f t="shared" si="13"/>
        <v>1.0363403006967364</v>
      </c>
      <c r="AE249" s="611">
        <f t="shared" si="14"/>
        <v>1.0265271493212669</v>
      </c>
    </row>
    <row r="250" spans="2:31" x14ac:dyDescent="0.3">
      <c r="B250" s="451" t="s">
        <v>262</v>
      </c>
      <c r="C250" s="541">
        <v>146843</v>
      </c>
      <c r="D250" s="34">
        <v>68508</v>
      </c>
      <c r="E250" s="34">
        <v>48920</v>
      </c>
      <c r="F250" s="34">
        <v>43628</v>
      </c>
      <c r="G250" s="34">
        <v>47717</v>
      </c>
      <c r="H250" s="34">
        <v>42574</v>
      </c>
      <c r="I250" s="34">
        <v>83980</v>
      </c>
      <c r="J250" s="577">
        <v>40000</v>
      </c>
      <c r="K250" s="456">
        <v>37415</v>
      </c>
      <c r="L250" s="456">
        <v>27045</v>
      </c>
      <c r="N250" s="451" t="s">
        <v>262</v>
      </c>
      <c r="O250" s="34">
        <v>37415</v>
      </c>
      <c r="P250" s="34">
        <v>36800</v>
      </c>
      <c r="Q250" s="34">
        <v>31586</v>
      </c>
      <c r="R250" s="34">
        <v>38522</v>
      </c>
      <c r="S250" s="34">
        <v>38373</v>
      </c>
      <c r="T250" s="617">
        <v>27045</v>
      </c>
      <c r="U250" s="619">
        <f t="shared" si="4"/>
        <v>0.85831521739130434</v>
      </c>
      <c r="V250" s="620">
        <f t="shared" si="5"/>
        <v>1.2195909580193758</v>
      </c>
      <c r="W250" s="621">
        <f t="shared" si="6"/>
        <v>1.3606951377334073</v>
      </c>
      <c r="X250" s="609" t="str">
        <f t="shared" si="7"/>
        <v/>
      </c>
      <c r="Y250" s="610" t="str">
        <f t="shared" si="8"/>
        <v/>
      </c>
      <c r="Z250" s="610" t="str">
        <f t="shared" si="9"/>
        <v/>
      </c>
      <c r="AA250" s="610" t="str">
        <f t="shared" si="10"/>
        <v/>
      </c>
      <c r="AB250" s="609">
        <f t="shared" si="11"/>
        <v>0.71369091989134437</v>
      </c>
      <c r="AC250" s="610">
        <f t="shared" si="12"/>
        <v>0.8575769867275912</v>
      </c>
      <c r="AD250" s="610">
        <f t="shared" si="13"/>
        <v>1.0484337415808089</v>
      </c>
      <c r="AE250" s="611">
        <f t="shared" si="14"/>
        <v>1.1920216433051918</v>
      </c>
    </row>
    <row r="251" spans="2:31" x14ac:dyDescent="0.3">
      <c r="B251" s="451" t="s">
        <v>263</v>
      </c>
      <c r="C251" s="541">
        <v>68981</v>
      </c>
      <c r="D251" s="34">
        <v>59196</v>
      </c>
      <c r="E251" s="34">
        <v>47930</v>
      </c>
      <c r="F251" s="34">
        <v>37373</v>
      </c>
      <c r="G251" s="34">
        <v>45357</v>
      </c>
      <c r="H251" s="34">
        <v>38228</v>
      </c>
      <c r="I251" s="34">
        <v>47535</v>
      </c>
      <c r="J251" s="577">
        <v>40000</v>
      </c>
      <c r="K251" s="456">
        <v>22618</v>
      </c>
      <c r="L251" s="456">
        <v>14062</v>
      </c>
      <c r="N251" s="451" t="s">
        <v>263</v>
      </c>
      <c r="O251" s="34">
        <v>22618</v>
      </c>
      <c r="P251" s="34" t="s">
        <v>812</v>
      </c>
      <c r="Q251" s="34">
        <v>21058</v>
      </c>
      <c r="R251" s="34">
        <v>24304</v>
      </c>
      <c r="S251" s="34">
        <v>25965</v>
      </c>
      <c r="T251" s="617">
        <v>14062</v>
      </c>
      <c r="U251" s="619" t="str">
        <f t="shared" si="4"/>
        <v/>
      </c>
      <c r="V251" s="620">
        <f t="shared" si="5"/>
        <v>1.1541456928483236</v>
      </c>
      <c r="W251" s="621" t="str">
        <f t="shared" si="6"/>
        <v/>
      </c>
      <c r="X251" s="609" t="str">
        <f t="shared" si="7"/>
        <v/>
      </c>
      <c r="Y251" s="610">
        <f t="shared" si="8"/>
        <v>0.93102838447254399</v>
      </c>
      <c r="Z251" s="610">
        <f t="shared" si="9"/>
        <v>1.0745423998585197</v>
      </c>
      <c r="AA251" s="610" t="str">
        <f t="shared" si="10"/>
        <v/>
      </c>
      <c r="AB251" s="609">
        <f t="shared" si="11"/>
        <v>0.71369091989134437</v>
      </c>
      <c r="AC251" s="610">
        <f t="shared" si="12"/>
        <v>0.8575769867275912</v>
      </c>
      <c r="AD251" s="610">
        <f t="shared" si="13"/>
        <v>1.0745423998585197</v>
      </c>
      <c r="AE251" s="611">
        <f t="shared" si="14"/>
        <v>1.1920216433051918</v>
      </c>
    </row>
    <row r="252" spans="2:31" x14ac:dyDescent="0.3">
      <c r="B252" s="451" t="s">
        <v>264</v>
      </c>
      <c r="C252" s="541">
        <v>107648</v>
      </c>
      <c r="D252" s="34">
        <v>71311</v>
      </c>
      <c r="E252" s="34">
        <v>53050</v>
      </c>
      <c r="F252" s="34">
        <v>46696</v>
      </c>
      <c r="G252" s="34">
        <v>46214</v>
      </c>
      <c r="H252" s="34">
        <v>44235</v>
      </c>
      <c r="I252" s="34">
        <v>70858</v>
      </c>
      <c r="J252" s="577">
        <v>40000</v>
      </c>
      <c r="K252" s="456">
        <v>38894</v>
      </c>
      <c r="L252" s="456">
        <v>23827</v>
      </c>
      <c r="N252" s="451" t="s">
        <v>264</v>
      </c>
      <c r="O252" s="34">
        <v>38894</v>
      </c>
      <c r="P252" s="34">
        <v>18700</v>
      </c>
      <c r="Q252" s="34">
        <v>23675</v>
      </c>
      <c r="R252" s="34">
        <v>35947</v>
      </c>
      <c r="S252" s="34">
        <v>52753</v>
      </c>
      <c r="T252" s="617">
        <v>23827</v>
      </c>
      <c r="U252" s="619">
        <f t="shared" si="4"/>
        <v>1.2660427807486632</v>
      </c>
      <c r="V252" s="620">
        <f t="shared" si="5"/>
        <v>1.5183526927138331</v>
      </c>
      <c r="W252" s="621">
        <f t="shared" si="6"/>
        <v>0.78482393922860616</v>
      </c>
      <c r="X252" s="609">
        <f t="shared" si="7"/>
        <v>0.48079395279477555</v>
      </c>
      <c r="Y252" s="610">
        <f t="shared" si="8"/>
        <v>0.60870571296343912</v>
      </c>
      <c r="Z252" s="610">
        <f t="shared" si="9"/>
        <v>0.92422995834833133</v>
      </c>
      <c r="AA252" s="610" t="str">
        <f t="shared" si="10"/>
        <v/>
      </c>
      <c r="AB252" s="609">
        <f t="shared" si="11"/>
        <v>0.48079395279477555</v>
      </c>
      <c r="AC252" s="610">
        <f t="shared" si="12"/>
        <v>0.60870571296343912</v>
      </c>
      <c r="AD252" s="610">
        <f t="shared" si="13"/>
        <v>1.0484337415808089</v>
      </c>
      <c r="AE252" s="611">
        <f t="shared" si="14"/>
        <v>1.1920216433051918</v>
      </c>
    </row>
    <row r="253" spans="2:31" x14ac:dyDescent="0.3">
      <c r="B253" s="451" t="s">
        <v>265</v>
      </c>
      <c r="C253" s="541">
        <v>87832</v>
      </c>
      <c r="D253" s="34">
        <v>59922</v>
      </c>
      <c r="E253" s="34">
        <v>40628</v>
      </c>
      <c r="F253" s="34">
        <v>36393</v>
      </c>
      <c r="G253" s="34">
        <v>35397</v>
      </c>
      <c r="H253" s="34">
        <v>32661</v>
      </c>
      <c r="I253" s="34">
        <v>61457</v>
      </c>
      <c r="J253" s="577">
        <v>40000</v>
      </c>
      <c r="K253" s="456">
        <v>24835</v>
      </c>
      <c r="L253" s="456">
        <v>16136</v>
      </c>
      <c r="N253" s="451" t="s">
        <v>265</v>
      </c>
      <c r="O253" s="34">
        <v>24835</v>
      </c>
      <c r="P253" s="34">
        <v>14078</v>
      </c>
      <c r="Q253" s="34">
        <v>21889</v>
      </c>
      <c r="R253" s="34">
        <v>25554</v>
      </c>
      <c r="S253" s="34">
        <v>34212</v>
      </c>
      <c r="T253" s="617">
        <v>16136</v>
      </c>
      <c r="U253" s="619">
        <f t="shared" si="4"/>
        <v>1.5548373348487001</v>
      </c>
      <c r="V253" s="620">
        <f t="shared" si="5"/>
        <v>1.1674356982959477</v>
      </c>
      <c r="W253" s="621">
        <f t="shared" si="6"/>
        <v>0.87245909766980667</v>
      </c>
      <c r="X253" s="609">
        <f t="shared" si="7"/>
        <v>0.5668612844775518</v>
      </c>
      <c r="Y253" s="610">
        <f t="shared" si="8"/>
        <v>0.88137708878598753</v>
      </c>
      <c r="Z253" s="610">
        <f t="shared" si="9"/>
        <v>1.0289510771089188</v>
      </c>
      <c r="AA253" s="610" t="str">
        <f t="shared" si="10"/>
        <v/>
      </c>
      <c r="AB253" s="609">
        <f t="shared" si="11"/>
        <v>0.5668612844775518</v>
      </c>
      <c r="AC253" s="610">
        <f t="shared" si="12"/>
        <v>0.88137708878598753</v>
      </c>
      <c r="AD253" s="610">
        <f t="shared" si="13"/>
        <v>1.0289510771089188</v>
      </c>
      <c r="AE253" s="611">
        <f t="shared" si="14"/>
        <v>1.1920216433051918</v>
      </c>
    </row>
    <row r="254" spans="2:31" x14ac:dyDescent="0.3">
      <c r="B254" s="451" t="s">
        <v>266</v>
      </c>
      <c r="C254" s="541">
        <v>90010</v>
      </c>
      <c r="D254" s="34">
        <v>59060</v>
      </c>
      <c r="E254" s="34">
        <v>42705</v>
      </c>
      <c r="F254" s="34">
        <v>33971</v>
      </c>
      <c r="G254" s="34">
        <v>40029</v>
      </c>
      <c r="H254" s="34">
        <v>35180</v>
      </c>
      <c r="I254" s="34">
        <v>63442</v>
      </c>
      <c r="J254" s="577">
        <v>40000</v>
      </c>
      <c r="K254" s="456">
        <v>28024</v>
      </c>
      <c r="L254" s="456">
        <v>17937</v>
      </c>
      <c r="N254" s="451" t="s">
        <v>266</v>
      </c>
      <c r="O254" s="34">
        <v>28024</v>
      </c>
      <c r="P254" s="34" t="s">
        <v>812</v>
      </c>
      <c r="Q254" s="34">
        <v>22834</v>
      </c>
      <c r="R254" s="34">
        <v>28385</v>
      </c>
      <c r="S254" s="34">
        <v>39739</v>
      </c>
      <c r="T254" s="617">
        <v>17937</v>
      </c>
      <c r="U254" s="619" t="str">
        <f t="shared" si="4"/>
        <v/>
      </c>
      <c r="V254" s="620">
        <f t="shared" si="5"/>
        <v>1.2431023911710608</v>
      </c>
      <c r="W254" s="621" t="str">
        <f t="shared" si="6"/>
        <v/>
      </c>
      <c r="X254" s="609" t="str">
        <f t="shared" si="7"/>
        <v/>
      </c>
      <c r="Y254" s="610">
        <f t="shared" si="8"/>
        <v>0.81480159862974588</v>
      </c>
      <c r="Z254" s="610">
        <f t="shared" si="9"/>
        <v>1.0128818155866399</v>
      </c>
      <c r="AA254" s="610" t="str">
        <f t="shared" si="10"/>
        <v/>
      </c>
      <c r="AB254" s="609">
        <f t="shared" si="11"/>
        <v>0.71369091989134437</v>
      </c>
      <c r="AC254" s="610">
        <f t="shared" si="12"/>
        <v>0.8575769867275912</v>
      </c>
      <c r="AD254" s="610">
        <f t="shared" si="13"/>
        <v>1.0128818155866399</v>
      </c>
      <c r="AE254" s="611">
        <f t="shared" si="14"/>
        <v>1.1920216433051918</v>
      </c>
    </row>
    <row r="255" spans="2:31" x14ac:dyDescent="0.3">
      <c r="B255" s="451" t="s">
        <v>267</v>
      </c>
      <c r="C255" s="541">
        <v>92833</v>
      </c>
      <c r="D255" s="34">
        <v>71069</v>
      </c>
      <c r="E255" s="34">
        <v>48256</v>
      </c>
      <c r="F255" s="34">
        <v>40541</v>
      </c>
      <c r="G255" s="34">
        <v>41711</v>
      </c>
      <c r="H255" s="34">
        <v>44022</v>
      </c>
      <c r="I255" s="34">
        <v>67273</v>
      </c>
      <c r="J255" s="577">
        <v>40000</v>
      </c>
      <c r="K255" s="456">
        <v>31861</v>
      </c>
      <c r="L255" s="456">
        <v>15591</v>
      </c>
      <c r="N255" s="451" t="s">
        <v>267</v>
      </c>
      <c r="O255" s="34">
        <v>31861</v>
      </c>
      <c r="P255" s="34">
        <v>22256</v>
      </c>
      <c r="Q255" s="34">
        <v>25627</v>
      </c>
      <c r="R255" s="34">
        <v>34035</v>
      </c>
      <c r="S255" s="34">
        <v>43177</v>
      </c>
      <c r="T255" s="617">
        <v>15591</v>
      </c>
      <c r="U255" s="619">
        <f t="shared" si="4"/>
        <v>1.1514647735442127</v>
      </c>
      <c r="V255" s="620">
        <f t="shared" si="5"/>
        <v>1.3280914660319194</v>
      </c>
      <c r="W255" s="621">
        <f t="shared" si="6"/>
        <v>1.427490218715926</v>
      </c>
      <c r="X255" s="609">
        <f t="shared" si="7"/>
        <v>0.69853425818398673</v>
      </c>
      <c r="Y255" s="610">
        <f t="shared" si="8"/>
        <v>0.80433759141269889</v>
      </c>
      <c r="Z255" s="610">
        <f t="shared" si="9"/>
        <v>1.0682338909638742</v>
      </c>
      <c r="AA255" s="610">
        <f t="shared" si="10"/>
        <v>1.427490218715926</v>
      </c>
      <c r="AB255" s="609">
        <f t="shared" si="11"/>
        <v>0.69853425818398673</v>
      </c>
      <c r="AC255" s="610">
        <f t="shared" si="12"/>
        <v>0.80433759141269889</v>
      </c>
      <c r="AD255" s="610">
        <f t="shared" si="13"/>
        <v>1.0682338909638742</v>
      </c>
      <c r="AE255" s="611">
        <f t="shared" si="14"/>
        <v>1.427490218715926</v>
      </c>
    </row>
    <row r="256" spans="2:31" x14ac:dyDescent="0.3">
      <c r="B256" s="451" t="s">
        <v>268</v>
      </c>
      <c r="C256" s="541">
        <v>113743</v>
      </c>
      <c r="D256" s="34">
        <v>72555</v>
      </c>
      <c r="E256" s="34">
        <v>48769</v>
      </c>
      <c r="F256" s="34">
        <v>32291</v>
      </c>
      <c r="G256" s="34">
        <v>40804</v>
      </c>
      <c r="H256" s="34">
        <v>43974</v>
      </c>
      <c r="I256" s="34">
        <v>63403</v>
      </c>
      <c r="J256" s="577">
        <v>40000</v>
      </c>
      <c r="K256" s="456">
        <v>29225</v>
      </c>
      <c r="L256" s="456">
        <v>15124</v>
      </c>
      <c r="N256" s="451" t="s">
        <v>268</v>
      </c>
      <c r="O256" s="34">
        <v>29225</v>
      </c>
      <c r="P256" s="34">
        <v>22467</v>
      </c>
      <c r="Q256" s="34">
        <v>21976</v>
      </c>
      <c r="R256" s="34">
        <v>27220</v>
      </c>
      <c r="S256" s="34">
        <v>41744</v>
      </c>
      <c r="T256" s="617">
        <v>15124</v>
      </c>
      <c r="U256" s="619">
        <f t="shared" si="4"/>
        <v>0.97814572484087769</v>
      </c>
      <c r="V256" s="620">
        <f t="shared" si="5"/>
        <v>1.2386239534037131</v>
      </c>
      <c r="W256" s="621">
        <f t="shared" si="6"/>
        <v>1.4855197037820682</v>
      </c>
      <c r="X256" s="609" t="str">
        <f t="shared" si="7"/>
        <v/>
      </c>
      <c r="Y256" s="610" t="str">
        <f t="shared" si="8"/>
        <v/>
      </c>
      <c r="Z256" s="610" t="str">
        <f t="shared" si="9"/>
        <v/>
      </c>
      <c r="AA256" s="610" t="str">
        <f t="shared" si="10"/>
        <v/>
      </c>
      <c r="AB256" s="609">
        <f t="shared" si="11"/>
        <v>0.71369091989134437</v>
      </c>
      <c r="AC256" s="610">
        <f t="shared" si="12"/>
        <v>0.8575769867275912</v>
      </c>
      <c r="AD256" s="610">
        <f t="shared" si="13"/>
        <v>1.0484337415808089</v>
      </c>
      <c r="AE256" s="611">
        <f t="shared" si="14"/>
        <v>1.1920216433051918</v>
      </c>
    </row>
    <row r="257" spans="2:31" x14ac:dyDescent="0.3">
      <c r="B257" s="451" t="s">
        <v>269</v>
      </c>
      <c r="C257" s="541">
        <v>88795</v>
      </c>
      <c r="D257" s="34">
        <v>61616</v>
      </c>
      <c r="E257" s="34">
        <v>42712</v>
      </c>
      <c r="F257" s="34">
        <v>36591</v>
      </c>
      <c r="G257" s="34">
        <v>39597</v>
      </c>
      <c r="H257" s="34">
        <v>35079</v>
      </c>
      <c r="I257" s="34">
        <v>51517</v>
      </c>
      <c r="J257" s="577">
        <v>40000</v>
      </c>
      <c r="K257" s="456">
        <v>27307</v>
      </c>
      <c r="L257" s="456">
        <v>16500</v>
      </c>
      <c r="N257" s="451" t="s">
        <v>269</v>
      </c>
      <c r="O257" s="34">
        <v>27307</v>
      </c>
      <c r="P257" s="34">
        <v>21604</v>
      </c>
      <c r="Q257" s="34">
        <v>24740</v>
      </c>
      <c r="R257" s="34">
        <v>28700</v>
      </c>
      <c r="S257" s="34">
        <v>32457</v>
      </c>
      <c r="T257" s="617">
        <v>16500</v>
      </c>
      <c r="U257" s="619">
        <f t="shared" si="4"/>
        <v>1.1451583040177744</v>
      </c>
      <c r="V257" s="620">
        <f t="shared" si="5"/>
        <v>1.1600646725949879</v>
      </c>
      <c r="W257" s="621">
        <f t="shared" si="6"/>
        <v>1.3093333333333332</v>
      </c>
      <c r="X257" s="609">
        <f t="shared" si="7"/>
        <v>0.79115245175229798</v>
      </c>
      <c r="Y257" s="610">
        <f t="shared" si="8"/>
        <v>0.90599479986816567</v>
      </c>
      <c r="Z257" s="610">
        <f t="shared" si="9"/>
        <v>1.0510125608818253</v>
      </c>
      <c r="AA257" s="610">
        <f t="shared" si="10"/>
        <v>1.3093333333333332</v>
      </c>
      <c r="AB257" s="609">
        <f t="shared" si="11"/>
        <v>0.79115245175229798</v>
      </c>
      <c r="AC257" s="610">
        <f t="shared" si="12"/>
        <v>0.90599479986816567</v>
      </c>
      <c r="AD257" s="610">
        <f t="shared" si="13"/>
        <v>1.0510125608818253</v>
      </c>
      <c r="AE257" s="611">
        <f t="shared" si="14"/>
        <v>1.3093333333333332</v>
      </c>
    </row>
    <row r="258" spans="2:31" x14ac:dyDescent="0.3">
      <c r="B258" s="451" t="s">
        <v>270</v>
      </c>
      <c r="C258" s="541">
        <v>103206</v>
      </c>
      <c r="D258" s="34">
        <v>69457</v>
      </c>
      <c r="E258" s="34">
        <v>48315</v>
      </c>
      <c r="F258" s="34">
        <v>45657</v>
      </c>
      <c r="G258" s="34">
        <v>46406</v>
      </c>
      <c r="H258" s="34">
        <v>51088</v>
      </c>
      <c r="I258" s="34">
        <v>81062</v>
      </c>
      <c r="J258" s="577">
        <v>40000</v>
      </c>
      <c r="K258" s="456">
        <v>26020</v>
      </c>
      <c r="L258" s="456">
        <v>17971</v>
      </c>
      <c r="N258" s="451" t="s">
        <v>270</v>
      </c>
      <c r="O258" s="34">
        <v>26020</v>
      </c>
      <c r="P258" s="34">
        <v>32177</v>
      </c>
      <c r="Q258" s="34">
        <v>26748</v>
      </c>
      <c r="R258" s="34">
        <v>28773</v>
      </c>
      <c r="S258" s="34">
        <v>26958</v>
      </c>
      <c r="T258" s="617">
        <v>17971</v>
      </c>
      <c r="U258" s="619">
        <f t="shared" si="4"/>
        <v>0.83127699909873509</v>
      </c>
      <c r="V258" s="620">
        <f t="shared" si="5"/>
        <v>1.0757065948855988</v>
      </c>
      <c r="W258" s="621">
        <f t="shared" si="6"/>
        <v>1.7904957987869345</v>
      </c>
      <c r="X258" s="609" t="str">
        <f t="shared" si="7"/>
        <v/>
      </c>
      <c r="Y258" s="610" t="str">
        <f t="shared" si="8"/>
        <v/>
      </c>
      <c r="Z258" s="610" t="str">
        <f t="shared" si="9"/>
        <v/>
      </c>
      <c r="AA258" s="610" t="str">
        <f t="shared" si="10"/>
        <v/>
      </c>
      <c r="AB258" s="609">
        <f t="shared" si="11"/>
        <v>0.71369091989134437</v>
      </c>
      <c r="AC258" s="610">
        <f t="shared" si="12"/>
        <v>0.8575769867275912</v>
      </c>
      <c r="AD258" s="610">
        <f t="shared" si="13"/>
        <v>1.0484337415808089</v>
      </c>
      <c r="AE258" s="611">
        <f t="shared" si="14"/>
        <v>1.1920216433051918</v>
      </c>
    </row>
    <row r="259" spans="2:31" x14ac:dyDescent="0.3">
      <c r="B259" s="451" t="s">
        <v>271</v>
      </c>
      <c r="C259" s="541">
        <v>84074</v>
      </c>
      <c r="D259" s="34">
        <v>76005</v>
      </c>
      <c r="E259" s="34">
        <v>52585</v>
      </c>
      <c r="F259" s="34">
        <v>53433</v>
      </c>
      <c r="G259" s="34">
        <v>49623</v>
      </c>
      <c r="H259" s="34">
        <v>53676</v>
      </c>
      <c r="I259" s="34">
        <v>65061</v>
      </c>
      <c r="J259" s="577">
        <v>40000</v>
      </c>
      <c r="K259" s="456">
        <v>37273</v>
      </c>
      <c r="L259" s="456">
        <v>19410</v>
      </c>
      <c r="N259" s="451" t="s">
        <v>271</v>
      </c>
      <c r="O259" s="34">
        <v>37273</v>
      </c>
      <c r="P259" s="34">
        <v>16442</v>
      </c>
      <c r="Q259" s="34">
        <v>23073</v>
      </c>
      <c r="R259" s="34">
        <v>33935</v>
      </c>
      <c r="S259" s="34">
        <v>60599</v>
      </c>
      <c r="T259" s="617">
        <v>19410</v>
      </c>
      <c r="U259" s="619">
        <f t="shared" si="4"/>
        <v>1.4032964359566962</v>
      </c>
      <c r="V259" s="620">
        <f t="shared" si="5"/>
        <v>1.4707666970051576</v>
      </c>
      <c r="W259" s="621">
        <f t="shared" si="6"/>
        <v>0.84708912931478619</v>
      </c>
      <c r="X259" s="609">
        <f t="shared" si="7"/>
        <v>0.44112360153462293</v>
      </c>
      <c r="Y259" s="610">
        <f t="shared" si="8"/>
        <v>0.61902717784991812</v>
      </c>
      <c r="Z259" s="610">
        <f t="shared" si="9"/>
        <v>0.91044455772274835</v>
      </c>
      <c r="AA259" s="610" t="str">
        <f t="shared" si="10"/>
        <v/>
      </c>
      <c r="AB259" s="609">
        <f t="shared" si="11"/>
        <v>0.44112360153462293</v>
      </c>
      <c r="AC259" s="610">
        <f t="shared" si="12"/>
        <v>0.61902717784991812</v>
      </c>
      <c r="AD259" s="610">
        <f t="shared" si="13"/>
        <v>1.0484337415808089</v>
      </c>
      <c r="AE259" s="611">
        <f t="shared" si="14"/>
        <v>1.1920216433051918</v>
      </c>
    </row>
    <row r="260" spans="2:31" x14ac:dyDescent="0.3">
      <c r="B260" s="451" t="s">
        <v>272</v>
      </c>
      <c r="C260" s="541">
        <v>121035</v>
      </c>
      <c r="D260" s="34">
        <v>80077</v>
      </c>
      <c r="E260" s="34">
        <v>54151</v>
      </c>
      <c r="F260" s="34">
        <v>46636</v>
      </c>
      <c r="G260" s="34">
        <v>52056</v>
      </c>
      <c r="H260" s="34">
        <v>45246</v>
      </c>
      <c r="I260" s="34">
        <v>91573</v>
      </c>
      <c r="J260" s="577">
        <v>40000</v>
      </c>
      <c r="K260" s="456">
        <v>27796</v>
      </c>
      <c r="L260" s="456">
        <v>21513</v>
      </c>
      <c r="N260" s="451" t="s">
        <v>272</v>
      </c>
      <c r="O260" s="34">
        <v>27796</v>
      </c>
      <c r="P260" s="34">
        <v>21813</v>
      </c>
      <c r="Q260" s="34">
        <v>26450</v>
      </c>
      <c r="R260" s="34">
        <v>28971</v>
      </c>
      <c r="S260" s="34">
        <v>32086</v>
      </c>
      <c r="T260" s="617">
        <v>21513</v>
      </c>
      <c r="U260" s="619">
        <f t="shared" si="4"/>
        <v>1.212579654334571</v>
      </c>
      <c r="V260" s="620">
        <f t="shared" si="5"/>
        <v>1.0953119092627599</v>
      </c>
      <c r="W260" s="621">
        <f t="shared" si="6"/>
        <v>1.0139450564774788</v>
      </c>
      <c r="X260" s="609">
        <f t="shared" si="7"/>
        <v>0.78475320189955389</v>
      </c>
      <c r="Y260" s="610">
        <f t="shared" si="8"/>
        <v>0.951575766297309</v>
      </c>
      <c r="Z260" s="610">
        <f t="shared" si="9"/>
        <v>1.0422722693912794</v>
      </c>
      <c r="AA260" s="610">
        <f t="shared" si="10"/>
        <v>1.0139450564774788</v>
      </c>
      <c r="AB260" s="609">
        <f t="shared" si="11"/>
        <v>0.78475320189955389</v>
      </c>
      <c r="AC260" s="610">
        <f t="shared" si="12"/>
        <v>0.951575766297309</v>
      </c>
      <c r="AD260" s="610">
        <f t="shared" si="13"/>
        <v>1.0422722693912794</v>
      </c>
      <c r="AE260" s="611">
        <f t="shared" si="14"/>
        <v>1.0139450564774788</v>
      </c>
    </row>
    <row r="261" spans="2:31" x14ac:dyDescent="0.3">
      <c r="B261" s="451" t="s">
        <v>273</v>
      </c>
      <c r="C261" s="541">
        <v>99834</v>
      </c>
      <c r="D261" s="34">
        <v>73138</v>
      </c>
      <c r="E261" s="34">
        <v>47399</v>
      </c>
      <c r="F261" s="34">
        <v>41699</v>
      </c>
      <c r="G261" s="34">
        <v>42329</v>
      </c>
      <c r="H261" s="34">
        <v>45433</v>
      </c>
      <c r="I261" s="34">
        <v>68463</v>
      </c>
      <c r="J261" s="577">
        <v>40000</v>
      </c>
      <c r="K261" s="456">
        <v>30731</v>
      </c>
      <c r="L261" s="456">
        <v>18700</v>
      </c>
      <c r="N261" s="451" t="s">
        <v>273</v>
      </c>
      <c r="O261" s="34">
        <v>30731</v>
      </c>
      <c r="P261" s="34">
        <v>23186</v>
      </c>
      <c r="Q261" s="34">
        <v>25848</v>
      </c>
      <c r="R261" s="34">
        <v>30130</v>
      </c>
      <c r="S261" s="34">
        <v>44313</v>
      </c>
      <c r="T261" s="617">
        <v>18700</v>
      </c>
      <c r="U261" s="619">
        <f t="shared" si="4"/>
        <v>1.1148106616061417</v>
      </c>
      <c r="V261" s="620">
        <f t="shared" si="5"/>
        <v>1.1656607861343238</v>
      </c>
      <c r="W261" s="621">
        <f t="shared" si="6"/>
        <v>1.2398930481283423</v>
      </c>
      <c r="X261" s="609">
        <f t="shared" si="7"/>
        <v>0.75448244443721324</v>
      </c>
      <c r="Y261" s="610">
        <f t="shared" si="8"/>
        <v>0.84110507305326865</v>
      </c>
      <c r="Z261" s="610">
        <f t="shared" si="9"/>
        <v>0.98044320067684099</v>
      </c>
      <c r="AA261" s="610">
        <f t="shared" si="10"/>
        <v>1.2398930481283423</v>
      </c>
      <c r="AB261" s="609">
        <f t="shared" si="11"/>
        <v>0.75448244443721324</v>
      </c>
      <c r="AC261" s="610">
        <f t="shared" si="12"/>
        <v>0.84110507305326865</v>
      </c>
      <c r="AD261" s="610">
        <f t="shared" si="13"/>
        <v>1.0484337415808089</v>
      </c>
      <c r="AE261" s="611">
        <f t="shared" si="14"/>
        <v>1.2398930481283423</v>
      </c>
    </row>
    <row r="262" spans="2:31" x14ac:dyDescent="0.3">
      <c r="B262" s="451" t="s">
        <v>274</v>
      </c>
      <c r="C262" s="541">
        <v>101345</v>
      </c>
      <c r="D262" s="34">
        <v>68918</v>
      </c>
      <c r="E262" s="34">
        <v>48826</v>
      </c>
      <c r="F262" s="34">
        <v>45091</v>
      </c>
      <c r="G262" s="34">
        <v>45122</v>
      </c>
      <c r="H262" s="34">
        <v>42022</v>
      </c>
      <c r="I262" s="34">
        <v>69945</v>
      </c>
      <c r="J262" s="577">
        <v>40000</v>
      </c>
      <c r="K262" s="456">
        <v>30717</v>
      </c>
      <c r="L262" s="456">
        <v>20622</v>
      </c>
      <c r="N262" s="451" t="s">
        <v>274</v>
      </c>
      <c r="O262" s="34">
        <v>30717</v>
      </c>
      <c r="P262" s="34">
        <v>23955</v>
      </c>
      <c r="Q262" s="34">
        <v>29954</v>
      </c>
      <c r="R262" s="34">
        <v>30350</v>
      </c>
      <c r="S262" s="34">
        <v>38628</v>
      </c>
      <c r="T262" s="617">
        <v>20622</v>
      </c>
      <c r="U262" s="619">
        <f t="shared" si="4"/>
        <v>1.2504278856188686</v>
      </c>
      <c r="V262" s="620">
        <f t="shared" si="5"/>
        <v>1.0132202710823262</v>
      </c>
      <c r="W262" s="621">
        <f t="shared" si="6"/>
        <v>1.1616235088740181</v>
      </c>
      <c r="X262" s="609">
        <f t="shared" si="7"/>
        <v>0.7798613145815021</v>
      </c>
      <c r="Y262" s="610">
        <f t="shared" si="8"/>
        <v>0.97516033466809915</v>
      </c>
      <c r="Z262" s="610">
        <f t="shared" si="9"/>
        <v>0.98805221864114334</v>
      </c>
      <c r="AA262" s="610">
        <f t="shared" si="10"/>
        <v>1.1616235088740181</v>
      </c>
      <c r="AB262" s="609">
        <f t="shared" si="11"/>
        <v>0.7798613145815021</v>
      </c>
      <c r="AC262" s="610">
        <f t="shared" si="12"/>
        <v>0.97516033466809915</v>
      </c>
      <c r="AD262" s="610">
        <f t="shared" si="13"/>
        <v>1.0484337415808089</v>
      </c>
      <c r="AE262" s="611">
        <f t="shared" si="14"/>
        <v>1.1616235088740181</v>
      </c>
    </row>
    <row r="263" spans="2:31" x14ac:dyDescent="0.3">
      <c r="B263" s="451" t="s">
        <v>275</v>
      </c>
      <c r="C263" s="541">
        <v>108236</v>
      </c>
      <c r="D263" s="34">
        <v>82725</v>
      </c>
      <c r="E263" s="34">
        <v>51345</v>
      </c>
      <c r="F263" s="34">
        <v>44980</v>
      </c>
      <c r="G263" s="34">
        <v>47786</v>
      </c>
      <c r="H263" s="34">
        <v>49442</v>
      </c>
      <c r="I263" s="34">
        <v>70628</v>
      </c>
      <c r="J263" s="577">
        <v>40000</v>
      </c>
      <c r="K263" s="456">
        <v>19403</v>
      </c>
      <c r="L263" s="456">
        <v>13201</v>
      </c>
      <c r="N263" s="451" t="s">
        <v>275</v>
      </c>
      <c r="O263" s="34">
        <v>19403</v>
      </c>
      <c r="P263" s="34">
        <v>15283</v>
      </c>
      <c r="Q263" s="34">
        <v>15942</v>
      </c>
      <c r="R263" s="34">
        <v>20518</v>
      </c>
      <c r="S263" s="34">
        <v>20901</v>
      </c>
      <c r="T263" s="617">
        <v>13201</v>
      </c>
      <c r="U263" s="619">
        <f t="shared" si="4"/>
        <v>1.0431198063207485</v>
      </c>
      <c r="V263" s="620">
        <f t="shared" si="5"/>
        <v>1.2870405218918579</v>
      </c>
      <c r="W263" s="621">
        <f t="shared" si="6"/>
        <v>1.1577153245966214</v>
      </c>
      <c r="X263" s="609">
        <f t="shared" si="7"/>
        <v>0.78766170179869088</v>
      </c>
      <c r="Y263" s="610">
        <f t="shared" si="8"/>
        <v>0.82162552182652171</v>
      </c>
      <c r="Z263" s="610">
        <f t="shared" si="9"/>
        <v>1.0574653404112766</v>
      </c>
      <c r="AA263" s="610">
        <f t="shared" si="10"/>
        <v>1.1577153245966214</v>
      </c>
      <c r="AB263" s="609">
        <f t="shared" si="11"/>
        <v>0.78766170179869088</v>
      </c>
      <c r="AC263" s="610">
        <f t="shared" si="12"/>
        <v>0.82162552182652171</v>
      </c>
      <c r="AD263" s="610">
        <f t="shared" si="13"/>
        <v>1.0574653404112766</v>
      </c>
      <c r="AE263" s="611">
        <f t="shared" si="14"/>
        <v>1.1577153245966214</v>
      </c>
    </row>
    <row r="264" spans="2:31" x14ac:dyDescent="0.3">
      <c r="B264" s="451" t="s">
        <v>276</v>
      </c>
      <c r="C264" s="541">
        <v>98895</v>
      </c>
      <c r="D264" s="34">
        <v>68713</v>
      </c>
      <c r="E264" s="34">
        <v>41384</v>
      </c>
      <c r="F264" s="34">
        <v>39049</v>
      </c>
      <c r="G264" s="34">
        <v>41329</v>
      </c>
      <c r="H264" s="34">
        <v>39828</v>
      </c>
      <c r="I264" s="34">
        <v>73369</v>
      </c>
      <c r="J264" s="577">
        <v>40000</v>
      </c>
      <c r="K264" s="456">
        <v>25331</v>
      </c>
      <c r="L264" s="456">
        <v>17451</v>
      </c>
      <c r="N264" s="451" t="s">
        <v>276</v>
      </c>
      <c r="O264" s="34">
        <v>25331</v>
      </c>
      <c r="P264" s="34">
        <v>18888</v>
      </c>
      <c r="Q264" s="34">
        <v>22112</v>
      </c>
      <c r="R264" s="34">
        <v>27610</v>
      </c>
      <c r="S264" s="34">
        <v>34456</v>
      </c>
      <c r="T264" s="617">
        <v>17451</v>
      </c>
      <c r="U264" s="619">
        <f t="shared" si="4"/>
        <v>1.1706903854299027</v>
      </c>
      <c r="V264" s="620">
        <f t="shared" si="5"/>
        <v>1.2486432706222865</v>
      </c>
      <c r="W264" s="621">
        <f t="shared" si="6"/>
        <v>1.0823448512979199</v>
      </c>
      <c r="X264" s="609">
        <f t="shared" si="7"/>
        <v>0.74564762543918517</v>
      </c>
      <c r="Y264" s="610">
        <f t="shared" si="8"/>
        <v>0.87292250602029131</v>
      </c>
      <c r="Z264" s="610">
        <f t="shared" si="9"/>
        <v>1.0899688129169791</v>
      </c>
      <c r="AA264" s="610">
        <f t="shared" si="10"/>
        <v>1.0823448512979199</v>
      </c>
      <c r="AB264" s="609">
        <f t="shared" si="11"/>
        <v>0.74564762543918517</v>
      </c>
      <c r="AC264" s="610">
        <f t="shared" si="12"/>
        <v>0.87292250602029131</v>
      </c>
      <c r="AD264" s="610">
        <f t="shared" si="13"/>
        <v>1.0899688129169791</v>
      </c>
      <c r="AE264" s="611">
        <f t="shared" si="14"/>
        <v>1.0823448512979199</v>
      </c>
    </row>
    <row r="265" spans="2:31" x14ac:dyDescent="0.3">
      <c r="B265" s="451" t="s">
        <v>277</v>
      </c>
      <c r="C265" s="541">
        <v>63870</v>
      </c>
      <c r="D265" s="34">
        <v>54611</v>
      </c>
      <c r="E265" s="34">
        <v>33051</v>
      </c>
      <c r="F265" s="34">
        <v>28300</v>
      </c>
      <c r="G265" s="34">
        <v>32514</v>
      </c>
      <c r="H265" s="34">
        <v>19071</v>
      </c>
      <c r="I265" s="34">
        <v>44405</v>
      </c>
      <c r="J265" s="577">
        <v>40000</v>
      </c>
      <c r="K265" s="456">
        <v>17945</v>
      </c>
      <c r="L265" s="456">
        <v>14599</v>
      </c>
      <c r="N265" s="451" t="s">
        <v>277</v>
      </c>
      <c r="O265" s="34">
        <v>17945</v>
      </c>
      <c r="P265" s="34">
        <v>18818</v>
      </c>
      <c r="Q265" s="34">
        <v>18316</v>
      </c>
      <c r="R265" s="34">
        <v>22656</v>
      </c>
      <c r="S265" s="34">
        <v>19247</v>
      </c>
      <c r="T265" s="617">
        <v>14599</v>
      </c>
      <c r="U265" s="619">
        <f t="shared" si="4"/>
        <v>0.97332341375278986</v>
      </c>
      <c r="V265" s="620">
        <f t="shared" si="5"/>
        <v>1.2369512994103515</v>
      </c>
      <c r="W265" s="621">
        <f t="shared" si="6"/>
        <v>1.2889923967395027</v>
      </c>
      <c r="X265" s="609" t="str">
        <f t="shared" si="7"/>
        <v/>
      </c>
      <c r="Y265" s="610" t="str">
        <f t="shared" si="8"/>
        <v/>
      </c>
      <c r="Z265" s="610" t="str">
        <f t="shared" si="9"/>
        <v/>
      </c>
      <c r="AA265" s="610" t="str">
        <f t="shared" si="10"/>
        <v/>
      </c>
      <c r="AB265" s="609">
        <f t="shared" si="11"/>
        <v>0.71369091989134437</v>
      </c>
      <c r="AC265" s="610">
        <f t="shared" si="12"/>
        <v>0.8575769867275912</v>
      </c>
      <c r="AD265" s="610">
        <f t="shared" si="13"/>
        <v>1.0484337415808089</v>
      </c>
      <c r="AE265" s="611">
        <f t="shared" si="14"/>
        <v>1.1920216433051918</v>
      </c>
    </row>
    <row r="266" spans="2:31" x14ac:dyDescent="0.3">
      <c r="B266" s="451" t="s">
        <v>278</v>
      </c>
      <c r="C266" s="541">
        <v>104232</v>
      </c>
      <c r="D266" s="34">
        <v>64378</v>
      </c>
      <c r="E266" s="34">
        <v>44815</v>
      </c>
      <c r="F266" s="34">
        <v>39581</v>
      </c>
      <c r="G266" s="34">
        <v>43262</v>
      </c>
      <c r="H266" s="34">
        <v>46341</v>
      </c>
      <c r="I266" s="34">
        <v>56941</v>
      </c>
      <c r="J266" s="577">
        <v>40000</v>
      </c>
      <c r="K266" s="456">
        <v>34740</v>
      </c>
      <c r="L266" s="456">
        <v>14722</v>
      </c>
      <c r="N266" s="451" t="s">
        <v>278</v>
      </c>
      <c r="O266" s="34">
        <v>34740</v>
      </c>
      <c r="P266" s="34" t="s">
        <v>812</v>
      </c>
      <c r="Q266" s="34">
        <v>21871</v>
      </c>
      <c r="R266" s="34">
        <v>32004</v>
      </c>
      <c r="S266" s="34">
        <v>44074</v>
      </c>
      <c r="T266" s="617">
        <v>14722</v>
      </c>
      <c r="U266" s="619" t="str">
        <f t="shared" si="4"/>
        <v/>
      </c>
      <c r="V266" s="620">
        <f t="shared" si="5"/>
        <v>1.463307576242513</v>
      </c>
      <c r="W266" s="621" t="str">
        <f t="shared" si="6"/>
        <v/>
      </c>
      <c r="X266" s="609" t="str">
        <f t="shared" si="7"/>
        <v/>
      </c>
      <c r="Y266" s="610">
        <f t="shared" si="8"/>
        <v>0.62956246401842253</v>
      </c>
      <c r="Z266" s="610">
        <f t="shared" si="9"/>
        <v>0.92124352331606219</v>
      </c>
      <c r="AA266" s="610" t="str">
        <f t="shared" si="10"/>
        <v/>
      </c>
      <c r="AB266" s="609">
        <f t="shared" si="11"/>
        <v>0.71369091989134437</v>
      </c>
      <c r="AC266" s="610">
        <f t="shared" si="12"/>
        <v>0.8575769867275912</v>
      </c>
      <c r="AD266" s="610">
        <f t="shared" si="13"/>
        <v>1.0484337415808089</v>
      </c>
      <c r="AE266" s="611">
        <f t="shared" si="14"/>
        <v>1.1920216433051918</v>
      </c>
    </row>
    <row r="267" spans="2:31" x14ac:dyDescent="0.3">
      <c r="B267" s="451" t="s">
        <v>279</v>
      </c>
      <c r="C267" s="541">
        <v>100720</v>
      </c>
      <c r="D267" s="34">
        <v>100720</v>
      </c>
      <c r="E267" s="34">
        <v>72000</v>
      </c>
      <c r="F267" s="34">
        <v>73711</v>
      </c>
      <c r="G267" s="34">
        <v>74000</v>
      </c>
      <c r="H267" s="34">
        <v>72000</v>
      </c>
      <c r="I267" s="34">
        <v>73711</v>
      </c>
      <c r="J267" s="577">
        <v>40000</v>
      </c>
      <c r="K267" s="456">
        <v>32553</v>
      </c>
      <c r="L267" s="456">
        <v>21570</v>
      </c>
      <c r="N267" s="451" t="s">
        <v>279</v>
      </c>
      <c r="O267" s="34">
        <v>32553</v>
      </c>
      <c r="P267" s="34" t="s">
        <v>812</v>
      </c>
      <c r="Q267" s="34">
        <v>31947</v>
      </c>
      <c r="R267" s="34">
        <v>32626</v>
      </c>
      <c r="S267" s="34">
        <v>32150</v>
      </c>
      <c r="T267" s="617">
        <v>21570</v>
      </c>
      <c r="U267" s="619" t="str">
        <f t="shared" si="4"/>
        <v/>
      </c>
      <c r="V267" s="620">
        <f t="shared" si="5"/>
        <v>1.0212539518577644</v>
      </c>
      <c r="W267" s="621" t="str">
        <f t="shared" si="6"/>
        <v/>
      </c>
      <c r="X267" s="609" t="str">
        <f t="shared" si="7"/>
        <v/>
      </c>
      <c r="Y267" s="610">
        <f t="shared" si="8"/>
        <v>0.98138420422080919</v>
      </c>
      <c r="Z267" s="610">
        <f t="shared" si="9"/>
        <v>1.0022424968512886</v>
      </c>
      <c r="AA267" s="610" t="str">
        <f t="shared" si="10"/>
        <v/>
      </c>
      <c r="AB267" s="609">
        <f t="shared" si="11"/>
        <v>0.71369091989134437</v>
      </c>
      <c r="AC267" s="610">
        <f t="shared" si="12"/>
        <v>0.8575769867275912</v>
      </c>
      <c r="AD267" s="610">
        <f t="shared" si="13"/>
        <v>1.0022424968512886</v>
      </c>
      <c r="AE267" s="611">
        <f t="shared" si="14"/>
        <v>1.1920216433051918</v>
      </c>
    </row>
    <row r="268" spans="2:31" x14ac:dyDescent="0.3">
      <c r="B268" s="451" t="s">
        <v>280</v>
      </c>
      <c r="C268" s="541">
        <v>130589</v>
      </c>
      <c r="D268" s="34">
        <v>66828</v>
      </c>
      <c r="E268" s="34">
        <v>39534</v>
      </c>
      <c r="F268" s="34">
        <v>39585</v>
      </c>
      <c r="G268" s="34">
        <v>38071</v>
      </c>
      <c r="H268" s="34">
        <v>39394</v>
      </c>
      <c r="I268" s="34">
        <v>85327</v>
      </c>
      <c r="J268" s="577">
        <v>40000</v>
      </c>
      <c r="K268" s="456">
        <v>25180</v>
      </c>
      <c r="L268" s="456">
        <v>16572</v>
      </c>
      <c r="N268" s="451" t="s">
        <v>280</v>
      </c>
      <c r="O268" s="34">
        <v>25180</v>
      </c>
      <c r="P268" s="34" t="s">
        <v>812</v>
      </c>
      <c r="Q268" s="34">
        <v>25928</v>
      </c>
      <c r="R268" s="34">
        <v>24857</v>
      </c>
      <c r="S268" s="34">
        <v>25406</v>
      </c>
      <c r="T268" s="617">
        <v>16572</v>
      </c>
      <c r="U268" s="619" t="str">
        <f t="shared" si="4"/>
        <v/>
      </c>
      <c r="V268" s="620">
        <f t="shared" si="5"/>
        <v>0.95869330453563717</v>
      </c>
      <c r="W268" s="621" t="str">
        <f t="shared" si="6"/>
        <v/>
      </c>
      <c r="X268" s="609" t="str">
        <f t="shared" si="7"/>
        <v/>
      </c>
      <c r="Y268" s="610" t="str">
        <f t="shared" si="8"/>
        <v/>
      </c>
      <c r="Z268" s="610" t="str">
        <f t="shared" si="9"/>
        <v/>
      </c>
      <c r="AA268" s="610" t="str">
        <f t="shared" si="10"/>
        <v/>
      </c>
      <c r="AB268" s="609">
        <f t="shared" si="11"/>
        <v>0.71369091989134437</v>
      </c>
      <c r="AC268" s="610">
        <f t="shared" si="12"/>
        <v>0.8575769867275912</v>
      </c>
      <c r="AD268" s="610">
        <f t="shared" si="13"/>
        <v>1.0484337415808089</v>
      </c>
      <c r="AE268" s="611">
        <f t="shared" si="14"/>
        <v>1.1920216433051918</v>
      </c>
    </row>
    <row r="269" spans="2:31" x14ac:dyDescent="0.3">
      <c r="B269" s="451" t="s">
        <v>281</v>
      </c>
      <c r="C269" s="541">
        <v>124127</v>
      </c>
      <c r="D269" s="34">
        <v>81578</v>
      </c>
      <c r="E269" s="34">
        <v>63550</v>
      </c>
      <c r="F269" s="34">
        <v>49975</v>
      </c>
      <c r="G269" s="34">
        <v>49902</v>
      </c>
      <c r="H269" s="34">
        <v>50840</v>
      </c>
      <c r="I269" s="34">
        <v>86094</v>
      </c>
      <c r="J269" s="577">
        <v>40000</v>
      </c>
      <c r="K269" s="456">
        <v>41102</v>
      </c>
      <c r="L269" s="456">
        <v>21291</v>
      </c>
      <c r="N269" s="451" t="s">
        <v>281</v>
      </c>
      <c r="O269" s="34">
        <v>41102</v>
      </c>
      <c r="P269" s="34">
        <v>24046</v>
      </c>
      <c r="Q269" s="34">
        <v>24027</v>
      </c>
      <c r="R269" s="34">
        <v>41544</v>
      </c>
      <c r="S269" s="34">
        <v>53064</v>
      </c>
      <c r="T269" s="617">
        <v>21291</v>
      </c>
      <c r="U269" s="619">
        <f t="shared" si="4"/>
        <v>0.9992098477917325</v>
      </c>
      <c r="V269" s="620">
        <f t="shared" si="5"/>
        <v>1.7290548133349981</v>
      </c>
      <c r="W269" s="621">
        <f t="shared" si="6"/>
        <v>1.1293973979615801</v>
      </c>
      <c r="X269" s="609" t="str">
        <f t="shared" si="7"/>
        <v/>
      </c>
      <c r="Y269" s="610" t="str">
        <f t="shared" si="8"/>
        <v/>
      </c>
      <c r="Z269" s="610" t="str">
        <f t="shared" si="9"/>
        <v/>
      </c>
      <c r="AA269" s="610" t="str">
        <f t="shared" si="10"/>
        <v/>
      </c>
      <c r="AB269" s="609">
        <f t="shared" si="11"/>
        <v>0.71369091989134437</v>
      </c>
      <c r="AC269" s="610">
        <f t="shared" si="12"/>
        <v>0.8575769867275912</v>
      </c>
      <c r="AD269" s="610">
        <f t="shared" si="13"/>
        <v>1.0484337415808089</v>
      </c>
      <c r="AE269" s="611">
        <f t="shared" si="14"/>
        <v>1.1920216433051918</v>
      </c>
    </row>
    <row r="270" spans="2:31" x14ac:dyDescent="0.3">
      <c r="B270" s="451" t="s">
        <v>282</v>
      </c>
      <c r="C270" s="541">
        <v>116239</v>
      </c>
      <c r="D270" s="34">
        <v>76144</v>
      </c>
      <c r="E270" s="34">
        <v>38905</v>
      </c>
      <c r="F270" s="34">
        <v>38491</v>
      </c>
      <c r="G270" s="34">
        <v>39954</v>
      </c>
      <c r="H270" s="34">
        <v>33862</v>
      </c>
      <c r="I270" s="34">
        <v>70230</v>
      </c>
      <c r="J270" s="577">
        <v>40000</v>
      </c>
      <c r="K270" s="456">
        <v>24978</v>
      </c>
      <c r="L270" s="456">
        <v>15019</v>
      </c>
      <c r="N270" s="451" t="s">
        <v>282</v>
      </c>
      <c r="O270" s="34">
        <v>24978</v>
      </c>
      <c r="P270" s="34">
        <v>19958</v>
      </c>
      <c r="Q270" s="34">
        <v>22901</v>
      </c>
      <c r="R270" s="34">
        <v>29445</v>
      </c>
      <c r="S270" s="34">
        <v>28638</v>
      </c>
      <c r="T270" s="617">
        <v>15019</v>
      </c>
      <c r="U270" s="619">
        <f t="shared" si="4"/>
        <v>1.1474596652971241</v>
      </c>
      <c r="V270" s="620">
        <f t="shared" si="5"/>
        <v>1.2857517138989565</v>
      </c>
      <c r="W270" s="621">
        <f t="shared" si="6"/>
        <v>1.3288501231773087</v>
      </c>
      <c r="X270" s="609">
        <f t="shared" si="7"/>
        <v>0.79902314036351985</v>
      </c>
      <c r="Y270" s="610">
        <f t="shared" si="8"/>
        <v>0.91684682520618144</v>
      </c>
      <c r="Z270" s="610">
        <f t="shared" si="9"/>
        <v>1.1788373768916647</v>
      </c>
      <c r="AA270" s="610">
        <f t="shared" si="10"/>
        <v>1.3288501231773087</v>
      </c>
      <c r="AB270" s="609">
        <f t="shared" si="11"/>
        <v>0.79902314036351985</v>
      </c>
      <c r="AC270" s="610">
        <f t="shared" si="12"/>
        <v>0.91684682520618144</v>
      </c>
      <c r="AD270" s="610">
        <f t="shared" si="13"/>
        <v>1.1788373768916647</v>
      </c>
      <c r="AE270" s="611">
        <f t="shared" si="14"/>
        <v>1.3288501231773087</v>
      </c>
    </row>
    <row r="271" spans="2:31" x14ac:dyDescent="0.3">
      <c r="B271" s="451" t="s">
        <v>283</v>
      </c>
      <c r="C271" s="541">
        <v>111617</v>
      </c>
      <c r="D271" s="34">
        <v>75341</v>
      </c>
      <c r="E271" s="34">
        <v>54558</v>
      </c>
      <c r="F271" s="34">
        <v>40672</v>
      </c>
      <c r="G271" s="34">
        <v>44983</v>
      </c>
      <c r="H271" s="34">
        <v>44703</v>
      </c>
      <c r="I271" s="34">
        <v>69013</v>
      </c>
      <c r="J271" s="577">
        <v>40000</v>
      </c>
      <c r="K271" s="456">
        <v>34608</v>
      </c>
      <c r="L271" s="456">
        <v>21468</v>
      </c>
      <c r="N271" s="451" t="s">
        <v>283</v>
      </c>
      <c r="O271" s="34">
        <v>34608</v>
      </c>
      <c r="P271" s="34">
        <v>23551</v>
      </c>
      <c r="Q271" s="34">
        <v>26187</v>
      </c>
      <c r="R271" s="34">
        <v>32191</v>
      </c>
      <c r="S271" s="34">
        <v>38573</v>
      </c>
      <c r="T271" s="617">
        <v>21468</v>
      </c>
      <c r="U271" s="619">
        <f t="shared" si="4"/>
        <v>1.1119273066961064</v>
      </c>
      <c r="V271" s="620">
        <f t="shared" si="5"/>
        <v>1.2292740672852942</v>
      </c>
      <c r="W271" s="621">
        <f t="shared" si="6"/>
        <v>1.0970281348984534</v>
      </c>
      <c r="X271" s="609">
        <f t="shared" si="7"/>
        <v>0.68050739713361075</v>
      </c>
      <c r="Y271" s="610">
        <f t="shared" si="8"/>
        <v>0.75667475728155342</v>
      </c>
      <c r="Z271" s="610">
        <f t="shared" si="9"/>
        <v>0.93016065649560797</v>
      </c>
      <c r="AA271" s="610">
        <f t="shared" si="10"/>
        <v>1.0970281348984534</v>
      </c>
      <c r="AB271" s="609">
        <f t="shared" si="11"/>
        <v>0.68050739713361075</v>
      </c>
      <c r="AC271" s="610">
        <f t="shared" si="12"/>
        <v>0.75667475728155342</v>
      </c>
      <c r="AD271" s="610">
        <f t="shared" si="13"/>
        <v>1.0484337415808089</v>
      </c>
      <c r="AE271" s="611">
        <f t="shared" si="14"/>
        <v>1.0970281348984534</v>
      </c>
    </row>
    <row r="272" spans="2:31" x14ac:dyDescent="0.3">
      <c r="B272" s="451" t="s">
        <v>284</v>
      </c>
      <c r="C272" s="541">
        <v>166000</v>
      </c>
      <c r="D272" s="34">
        <v>90362</v>
      </c>
      <c r="E272" s="34">
        <v>47179</v>
      </c>
      <c r="F272" s="34">
        <v>47179</v>
      </c>
      <c r="G272" s="34">
        <v>47179</v>
      </c>
      <c r="H272" s="34">
        <v>47179</v>
      </c>
      <c r="I272" s="34">
        <v>116669</v>
      </c>
      <c r="J272" s="577">
        <v>40000</v>
      </c>
      <c r="K272" s="456">
        <v>11848</v>
      </c>
      <c r="L272" s="456">
        <v>11789</v>
      </c>
      <c r="N272" s="451" t="s">
        <v>284</v>
      </c>
      <c r="O272" s="34">
        <v>11848</v>
      </c>
      <c r="P272" s="34" t="s">
        <v>812</v>
      </c>
      <c r="Q272" s="34">
        <v>11621</v>
      </c>
      <c r="R272" s="34">
        <v>12486</v>
      </c>
      <c r="S272" s="34">
        <v>17615</v>
      </c>
      <c r="T272" s="617">
        <v>11789</v>
      </c>
      <c r="U272" s="619" t="str">
        <f t="shared" si="4"/>
        <v/>
      </c>
      <c r="V272" s="620">
        <f t="shared" si="5"/>
        <v>1.0744342139230703</v>
      </c>
      <c r="W272" s="621" t="str">
        <f t="shared" si="6"/>
        <v/>
      </c>
      <c r="X272" s="609" t="str">
        <f t="shared" si="7"/>
        <v/>
      </c>
      <c r="Y272" s="610">
        <f t="shared" si="8"/>
        <v>0.98084064821066852</v>
      </c>
      <c r="Z272" s="610">
        <f t="shared" si="9"/>
        <v>1.0538487508440244</v>
      </c>
      <c r="AA272" s="610" t="str">
        <f t="shared" si="10"/>
        <v/>
      </c>
      <c r="AB272" s="609">
        <f t="shared" si="11"/>
        <v>0.71369091989134437</v>
      </c>
      <c r="AC272" s="610">
        <f t="shared" si="12"/>
        <v>0.8575769867275912</v>
      </c>
      <c r="AD272" s="610">
        <f t="shared" si="13"/>
        <v>1.0538487508440244</v>
      </c>
      <c r="AE272" s="611">
        <f t="shared" si="14"/>
        <v>1.1920216433051918</v>
      </c>
    </row>
    <row r="273" spans="2:31" x14ac:dyDescent="0.3">
      <c r="B273" s="451" t="s">
        <v>285</v>
      </c>
      <c r="C273" s="541">
        <v>122153</v>
      </c>
      <c r="D273" s="34">
        <v>64626</v>
      </c>
      <c r="E273" s="34">
        <v>43257</v>
      </c>
      <c r="F273" s="34">
        <v>37772</v>
      </c>
      <c r="G273" s="34">
        <v>43652</v>
      </c>
      <c r="H273" s="34">
        <v>30430</v>
      </c>
      <c r="I273" s="34">
        <v>51818</v>
      </c>
      <c r="J273" s="577">
        <v>40000</v>
      </c>
      <c r="K273" s="456">
        <v>32225</v>
      </c>
      <c r="L273" s="456">
        <v>15301</v>
      </c>
      <c r="N273" s="451" t="s">
        <v>285</v>
      </c>
      <c r="O273" s="34">
        <v>32225</v>
      </c>
      <c r="P273" s="34">
        <v>36476</v>
      </c>
      <c r="Q273" s="34">
        <v>34198</v>
      </c>
      <c r="R273" s="34">
        <v>30536</v>
      </c>
      <c r="S273" s="34">
        <v>44502</v>
      </c>
      <c r="T273" s="617">
        <v>15301</v>
      </c>
      <c r="U273" s="619">
        <f t="shared" si="4"/>
        <v>0.93754797675183688</v>
      </c>
      <c r="V273" s="620">
        <f t="shared" si="5"/>
        <v>0.89291771448622725</v>
      </c>
      <c r="W273" s="621">
        <f t="shared" si="6"/>
        <v>2.3838964773544213</v>
      </c>
      <c r="X273" s="609" t="str">
        <f t="shared" si="7"/>
        <v/>
      </c>
      <c r="Y273" s="610" t="str">
        <f t="shared" si="8"/>
        <v/>
      </c>
      <c r="Z273" s="610" t="str">
        <f t="shared" si="9"/>
        <v/>
      </c>
      <c r="AA273" s="610" t="str">
        <f t="shared" si="10"/>
        <v/>
      </c>
      <c r="AB273" s="609">
        <f t="shared" si="11"/>
        <v>0.71369091989134437</v>
      </c>
      <c r="AC273" s="610">
        <f t="shared" si="12"/>
        <v>0.8575769867275912</v>
      </c>
      <c r="AD273" s="610">
        <f t="shared" si="13"/>
        <v>1.0484337415808089</v>
      </c>
      <c r="AE273" s="611">
        <f t="shared" si="14"/>
        <v>1.1920216433051918</v>
      </c>
    </row>
    <row r="274" spans="2:31" x14ac:dyDescent="0.3">
      <c r="B274" s="451" t="s">
        <v>286</v>
      </c>
      <c r="C274" s="541">
        <v>100700</v>
      </c>
      <c r="D274" s="34">
        <v>70047</v>
      </c>
      <c r="E274" s="34">
        <v>42699</v>
      </c>
      <c r="F274" s="34">
        <v>38743</v>
      </c>
      <c r="G274" s="34">
        <v>41194</v>
      </c>
      <c r="H274" s="34">
        <v>37582</v>
      </c>
      <c r="I274" s="34">
        <v>68851</v>
      </c>
      <c r="J274" s="577">
        <v>40000</v>
      </c>
      <c r="K274" s="456">
        <v>27182</v>
      </c>
      <c r="L274" s="456">
        <v>18348</v>
      </c>
      <c r="N274" s="451" t="s">
        <v>286</v>
      </c>
      <c r="O274" s="34">
        <v>27182</v>
      </c>
      <c r="P274" s="34">
        <v>31566</v>
      </c>
      <c r="Q274" s="34">
        <v>25384</v>
      </c>
      <c r="R274" s="34">
        <v>27664</v>
      </c>
      <c r="S274" s="34">
        <v>34340</v>
      </c>
      <c r="T274" s="617">
        <v>18348</v>
      </c>
      <c r="U274" s="619">
        <f t="shared" si="4"/>
        <v>0.80415637077868596</v>
      </c>
      <c r="V274" s="620">
        <f t="shared" si="5"/>
        <v>1.0898203592814371</v>
      </c>
      <c r="W274" s="621">
        <f t="shared" si="6"/>
        <v>1.7204054937867888</v>
      </c>
      <c r="X274" s="609" t="str">
        <f t="shared" si="7"/>
        <v/>
      </c>
      <c r="Y274" s="610" t="str">
        <f t="shared" si="8"/>
        <v/>
      </c>
      <c r="Z274" s="610" t="str">
        <f t="shared" si="9"/>
        <v/>
      </c>
      <c r="AA274" s="610" t="str">
        <f t="shared" si="10"/>
        <v/>
      </c>
      <c r="AB274" s="609">
        <f t="shared" si="11"/>
        <v>0.71369091989134437</v>
      </c>
      <c r="AC274" s="610">
        <f t="shared" si="12"/>
        <v>0.8575769867275912</v>
      </c>
      <c r="AD274" s="610">
        <f t="shared" si="13"/>
        <v>1.0484337415808089</v>
      </c>
      <c r="AE274" s="611">
        <f t="shared" si="14"/>
        <v>1.1920216433051918</v>
      </c>
    </row>
    <row r="275" spans="2:31" x14ac:dyDescent="0.3">
      <c r="B275" s="451" t="s">
        <v>287</v>
      </c>
      <c r="C275" s="541">
        <v>97772</v>
      </c>
      <c r="D275" s="34">
        <v>66146</v>
      </c>
      <c r="E275" s="34">
        <v>43369</v>
      </c>
      <c r="F275" s="34">
        <v>39665</v>
      </c>
      <c r="G275" s="34">
        <v>37355</v>
      </c>
      <c r="H275" s="34">
        <v>42188</v>
      </c>
      <c r="I275" s="34">
        <v>67490</v>
      </c>
      <c r="J275" s="577">
        <v>40000</v>
      </c>
      <c r="K275" s="456">
        <v>29837</v>
      </c>
      <c r="L275" s="456">
        <v>20660</v>
      </c>
      <c r="N275" s="451" t="s">
        <v>287</v>
      </c>
      <c r="O275" s="34">
        <v>29837</v>
      </c>
      <c r="P275" s="34">
        <v>27779</v>
      </c>
      <c r="Q275" s="34">
        <v>26571</v>
      </c>
      <c r="R275" s="34">
        <v>32846</v>
      </c>
      <c r="S275" s="34">
        <v>36607</v>
      </c>
      <c r="T275" s="617">
        <v>20660</v>
      </c>
      <c r="U275" s="619">
        <f t="shared" si="4"/>
        <v>0.95651391338781089</v>
      </c>
      <c r="V275" s="620">
        <f t="shared" si="5"/>
        <v>1.2361597230062851</v>
      </c>
      <c r="W275" s="621">
        <f t="shared" si="6"/>
        <v>1.3445788964181995</v>
      </c>
      <c r="X275" s="609" t="str">
        <f t="shared" si="7"/>
        <v/>
      </c>
      <c r="Y275" s="610" t="str">
        <f t="shared" si="8"/>
        <v/>
      </c>
      <c r="Z275" s="610" t="str">
        <f t="shared" si="9"/>
        <v/>
      </c>
      <c r="AA275" s="610" t="str">
        <f t="shared" si="10"/>
        <v/>
      </c>
      <c r="AB275" s="609">
        <f t="shared" si="11"/>
        <v>0.71369091989134437</v>
      </c>
      <c r="AC275" s="610">
        <f t="shared" si="12"/>
        <v>0.8575769867275912</v>
      </c>
      <c r="AD275" s="610">
        <f t="shared" si="13"/>
        <v>1.0484337415808089</v>
      </c>
      <c r="AE275" s="611">
        <f t="shared" si="14"/>
        <v>1.1920216433051918</v>
      </c>
    </row>
    <row r="276" spans="2:31" x14ac:dyDescent="0.3">
      <c r="B276" s="451" t="s">
        <v>288</v>
      </c>
      <c r="C276" s="541">
        <v>85723</v>
      </c>
      <c r="D276" s="34">
        <v>67027</v>
      </c>
      <c r="E276" s="34">
        <v>45943</v>
      </c>
      <c r="F276" s="34">
        <v>41091</v>
      </c>
      <c r="G276" s="34">
        <v>44645</v>
      </c>
      <c r="H276" s="34">
        <v>34120</v>
      </c>
      <c r="I276" s="34">
        <v>62119</v>
      </c>
      <c r="J276" s="577">
        <v>40000</v>
      </c>
      <c r="K276" s="456">
        <v>24398</v>
      </c>
      <c r="L276" s="456">
        <v>16622</v>
      </c>
      <c r="N276" s="451" t="s">
        <v>288</v>
      </c>
      <c r="O276" s="34">
        <v>24398</v>
      </c>
      <c r="P276" s="34">
        <v>25238</v>
      </c>
      <c r="Q276" s="34">
        <v>23206</v>
      </c>
      <c r="R276" s="34">
        <v>25335</v>
      </c>
      <c r="S276" s="34">
        <v>27109</v>
      </c>
      <c r="T276" s="617">
        <v>16622</v>
      </c>
      <c r="U276" s="619">
        <f t="shared" si="4"/>
        <v>0.91948648862825899</v>
      </c>
      <c r="V276" s="620">
        <f t="shared" si="5"/>
        <v>1.091743514608291</v>
      </c>
      <c r="W276" s="621">
        <f t="shared" si="6"/>
        <v>1.5183491757911203</v>
      </c>
      <c r="X276" s="609" t="str">
        <f t="shared" si="7"/>
        <v/>
      </c>
      <c r="Y276" s="610" t="str">
        <f t="shared" si="8"/>
        <v/>
      </c>
      <c r="Z276" s="610" t="str">
        <f t="shared" si="9"/>
        <v/>
      </c>
      <c r="AA276" s="610" t="str">
        <f t="shared" si="10"/>
        <v/>
      </c>
      <c r="AB276" s="609">
        <f t="shared" si="11"/>
        <v>0.71369091989134437</v>
      </c>
      <c r="AC276" s="610">
        <f t="shared" si="12"/>
        <v>0.8575769867275912</v>
      </c>
      <c r="AD276" s="610">
        <f t="shared" si="13"/>
        <v>1.0484337415808089</v>
      </c>
      <c r="AE276" s="611">
        <f t="shared" si="14"/>
        <v>1.1920216433051918</v>
      </c>
    </row>
    <row r="277" spans="2:31" x14ac:dyDescent="0.3">
      <c r="B277" s="451" t="s">
        <v>289</v>
      </c>
      <c r="C277" s="541">
        <v>105756</v>
      </c>
      <c r="D277" s="34">
        <v>105756</v>
      </c>
      <c r="E277" s="34">
        <v>70504</v>
      </c>
      <c r="F277" s="34">
        <v>69000</v>
      </c>
      <c r="G277" s="34">
        <v>70504</v>
      </c>
      <c r="H277" s="34">
        <v>55000</v>
      </c>
      <c r="I277" s="34">
        <v>70504</v>
      </c>
      <c r="J277" s="577">
        <v>40000</v>
      </c>
      <c r="K277" s="456">
        <v>37885</v>
      </c>
      <c r="L277" s="456">
        <v>23860</v>
      </c>
      <c r="N277" s="451" t="s">
        <v>289</v>
      </c>
      <c r="O277" s="34">
        <v>37885</v>
      </c>
      <c r="P277" s="34" t="s">
        <v>812</v>
      </c>
      <c r="Q277" s="34">
        <v>30133</v>
      </c>
      <c r="R277" s="34">
        <v>40179</v>
      </c>
      <c r="S277" s="34">
        <v>43343</v>
      </c>
      <c r="T277" s="617">
        <v>23860</v>
      </c>
      <c r="U277" s="619" t="str">
        <f t="shared" si="4"/>
        <v/>
      </c>
      <c r="V277" s="620">
        <f t="shared" si="5"/>
        <v>1.3333886436796867</v>
      </c>
      <c r="W277" s="621" t="str">
        <f t="shared" si="6"/>
        <v/>
      </c>
      <c r="X277" s="609" t="str">
        <f t="shared" si="7"/>
        <v/>
      </c>
      <c r="Y277" s="610">
        <f t="shared" si="8"/>
        <v>0.79538075755576088</v>
      </c>
      <c r="Z277" s="610">
        <f t="shared" si="9"/>
        <v>1.0605516695261976</v>
      </c>
      <c r="AA277" s="610" t="str">
        <f t="shared" si="10"/>
        <v/>
      </c>
      <c r="AB277" s="609">
        <f t="shared" si="11"/>
        <v>0.71369091989134437</v>
      </c>
      <c r="AC277" s="610">
        <f t="shared" si="12"/>
        <v>0.8575769867275912</v>
      </c>
      <c r="AD277" s="610">
        <f t="shared" si="13"/>
        <v>1.0605516695261976</v>
      </c>
      <c r="AE277" s="611">
        <f t="shared" si="14"/>
        <v>1.1920216433051918</v>
      </c>
    </row>
    <row r="278" spans="2:31" x14ac:dyDescent="0.3">
      <c r="B278" s="451" t="s">
        <v>290</v>
      </c>
      <c r="C278" s="541">
        <v>104175</v>
      </c>
      <c r="D278" s="34">
        <v>81669</v>
      </c>
      <c r="E278" s="34">
        <v>60647</v>
      </c>
      <c r="F278" s="34">
        <v>53981</v>
      </c>
      <c r="G278" s="34">
        <v>54795</v>
      </c>
      <c r="H278" s="34">
        <v>47682</v>
      </c>
      <c r="I278" s="34">
        <v>86204</v>
      </c>
      <c r="J278" s="577">
        <v>40000</v>
      </c>
      <c r="K278" s="456">
        <v>31384</v>
      </c>
      <c r="L278" s="456">
        <v>20921</v>
      </c>
      <c r="N278" s="451" t="s">
        <v>290</v>
      </c>
      <c r="O278" s="34">
        <v>31384</v>
      </c>
      <c r="P278" s="34">
        <v>16103</v>
      </c>
      <c r="Q278" s="34">
        <v>26964</v>
      </c>
      <c r="R278" s="34">
        <v>34176</v>
      </c>
      <c r="S278" s="34">
        <v>25392</v>
      </c>
      <c r="T278" s="617">
        <v>20921</v>
      </c>
      <c r="U278" s="619">
        <f t="shared" si="4"/>
        <v>1.6744705955412036</v>
      </c>
      <c r="V278" s="620">
        <f t="shared" si="5"/>
        <v>1.2674677347574543</v>
      </c>
      <c r="W278" s="621">
        <f t="shared" si="6"/>
        <v>0.76970508101907176</v>
      </c>
      <c r="X278" s="609">
        <f t="shared" si="7"/>
        <v>0.51309584501656891</v>
      </c>
      <c r="Y278" s="610">
        <f t="shared" si="8"/>
        <v>0.85916390517461128</v>
      </c>
      <c r="Z278" s="610">
        <f t="shared" si="9"/>
        <v>1.0889625286770328</v>
      </c>
      <c r="AA278" s="610" t="str">
        <f t="shared" si="10"/>
        <v/>
      </c>
      <c r="AB278" s="609">
        <f t="shared" si="11"/>
        <v>0.51309584501656891</v>
      </c>
      <c r="AC278" s="610">
        <f t="shared" si="12"/>
        <v>0.85916390517461128</v>
      </c>
      <c r="AD278" s="610">
        <f t="shared" si="13"/>
        <v>1.0889625286770328</v>
      </c>
      <c r="AE278" s="611">
        <f t="shared" si="14"/>
        <v>1.1920216433051918</v>
      </c>
    </row>
    <row r="279" spans="2:31" x14ac:dyDescent="0.3">
      <c r="B279" s="451" t="s">
        <v>291</v>
      </c>
      <c r="C279" s="541">
        <v>123498</v>
      </c>
      <c r="D279" s="34">
        <v>76616</v>
      </c>
      <c r="E279" s="34">
        <v>48413</v>
      </c>
      <c r="F279" s="34">
        <v>42487</v>
      </c>
      <c r="G279" s="34">
        <v>44400</v>
      </c>
      <c r="H279" s="34">
        <v>37453</v>
      </c>
      <c r="I279" s="34">
        <v>66042</v>
      </c>
      <c r="J279" s="577">
        <v>40000</v>
      </c>
      <c r="K279" s="456">
        <v>22214</v>
      </c>
      <c r="L279" s="456">
        <v>15934</v>
      </c>
      <c r="N279" s="451" t="s">
        <v>291</v>
      </c>
      <c r="O279" s="34">
        <v>22214</v>
      </c>
      <c r="P279" s="34">
        <v>9500</v>
      </c>
      <c r="Q279" s="34">
        <v>20493</v>
      </c>
      <c r="R279" s="34">
        <v>23461</v>
      </c>
      <c r="S279" s="34">
        <v>26740</v>
      </c>
      <c r="T279" s="617">
        <v>15934</v>
      </c>
      <c r="U279" s="619">
        <f t="shared" si="4"/>
        <v>2.1571578947368422</v>
      </c>
      <c r="V279" s="620">
        <f t="shared" si="5"/>
        <v>1.1448299419313912</v>
      </c>
      <c r="W279" s="621">
        <f t="shared" si="6"/>
        <v>0.59620936362495291</v>
      </c>
      <c r="X279" s="609">
        <f t="shared" si="7"/>
        <v>0.42765823354641219</v>
      </c>
      <c r="Y279" s="610">
        <f t="shared" si="8"/>
        <v>0.92252633474385526</v>
      </c>
      <c r="Z279" s="610">
        <f t="shared" si="9"/>
        <v>1.0561357702349869</v>
      </c>
      <c r="AA279" s="610" t="str">
        <f t="shared" si="10"/>
        <v/>
      </c>
      <c r="AB279" s="609">
        <f t="shared" si="11"/>
        <v>0.42765823354641219</v>
      </c>
      <c r="AC279" s="610">
        <f t="shared" si="12"/>
        <v>0.92252633474385526</v>
      </c>
      <c r="AD279" s="610">
        <f t="shared" si="13"/>
        <v>1.0561357702349869</v>
      </c>
      <c r="AE279" s="611">
        <f t="shared" si="14"/>
        <v>1.1920216433051918</v>
      </c>
    </row>
    <row r="280" spans="2:31" x14ac:dyDescent="0.3">
      <c r="B280" s="451" t="s">
        <v>292</v>
      </c>
      <c r="C280" s="541">
        <v>83595</v>
      </c>
      <c r="D280" s="34">
        <v>57370</v>
      </c>
      <c r="E280" s="34">
        <v>43068</v>
      </c>
      <c r="F280" s="34">
        <v>35799</v>
      </c>
      <c r="G280" s="34">
        <v>37770</v>
      </c>
      <c r="H280" s="34">
        <v>36233</v>
      </c>
      <c r="I280" s="34">
        <v>55640</v>
      </c>
      <c r="J280" s="577">
        <v>40000</v>
      </c>
      <c r="K280" s="456">
        <v>24131</v>
      </c>
      <c r="L280" s="456">
        <v>17042</v>
      </c>
      <c r="N280" s="451" t="s">
        <v>292</v>
      </c>
      <c r="O280" s="34">
        <v>24131</v>
      </c>
      <c r="P280" s="34">
        <v>20338</v>
      </c>
      <c r="Q280" s="34">
        <v>24121</v>
      </c>
      <c r="R280" s="34">
        <v>29027</v>
      </c>
      <c r="S280" s="34" t="s">
        <v>812</v>
      </c>
      <c r="T280" s="617">
        <v>17042</v>
      </c>
      <c r="U280" s="619">
        <f t="shared" si="4"/>
        <v>1.1860064903136984</v>
      </c>
      <c r="V280" s="620">
        <f t="shared" si="5"/>
        <v>1.2033912358525767</v>
      </c>
      <c r="W280" s="621">
        <f t="shared" si="6"/>
        <v>1.1934045299847436</v>
      </c>
      <c r="X280" s="609">
        <f t="shared" si="7"/>
        <v>0.84281629439310435</v>
      </c>
      <c r="Y280" s="610">
        <f t="shared" si="8"/>
        <v>0.99958559529236257</v>
      </c>
      <c r="Z280" s="610">
        <f t="shared" si="9"/>
        <v>1.2028925448593095</v>
      </c>
      <c r="AA280" s="610">
        <f t="shared" si="10"/>
        <v>1.1934045299847436</v>
      </c>
      <c r="AB280" s="609">
        <f t="shared" si="11"/>
        <v>0.84281629439310435</v>
      </c>
      <c r="AC280" s="610">
        <f t="shared" si="12"/>
        <v>0.99958559529236257</v>
      </c>
      <c r="AD280" s="610">
        <f t="shared" si="13"/>
        <v>1.2028925448593095</v>
      </c>
      <c r="AE280" s="611">
        <f t="shared" si="14"/>
        <v>1.1934045299847436</v>
      </c>
    </row>
    <row r="281" spans="2:31" x14ac:dyDescent="0.3">
      <c r="B281" s="451" t="s">
        <v>293</v>
      </c>
      <c r="C281" s="541">
        <v>87398</v>
      </c>
      <c r="D281" s="34">
        <v>68281</v>
      </c>
      <c r="E281" s="34">
        <v>52264</v>
      </c>
      <c r="F281" s="34">
        <v>41034</v>
      </c>
      <c r="G281" s="34">
        <v>44971</v>
      </c>
      <c r="H281" s="34">
        <v>42023</v>
      </c>
      <c r="I281" s="34">
        <v>61487</v>
      </c>
      <c r="J281" s="577">
        <v>40000</v>
      </c>
      <c r="K281" s="456">
        <v>29222</v>
      </c>
      <c r="L281" s="456">
        <v>17072</v>
      </c>
      <c r="N281" s="451" t="s">
        <v>293</v>
      </c>
      <c r="O281" s="34">
        <v>29222</v>
      </c>
      <c r="P281" s="34">
        <v>16801</v>
      </c>
      <c r="Q281" s="34">
        <v>21885</v>
      </c>
      <c r="R281" s="34">
        <v>31557</v>
      </c>
      <c r="S281" s="34">
        <v>35567</v>
      </c>
      <c r="T281" s="617">
        <v>17072</v>
      </c>
      <c r="U281" s="619">
        <f t="shared" si="4"/>
        <v>1.3026010356526396</v>
      </c>
      <c r="V281" s="620">
        <f t="shared" si="5"/>
        <v>1.4419465387251542</v>
      </c>
      <c r="W281" s="621">
        <f t="shared" si="6"/>
        <v>0.98412605435801315</v>
      </c>
      <c r="X281" s="609">
        <f t="shared" si="7"/>
        <v>0.57494353569228662</v>
      </c>
      <c r="Y281" s="610">
        <f t="shared" si="8"/>
        <v>0.74892204503456306</v>
      </c>
      <c r="Z281" s="610">
        <f t="shared" si="9"/>
        <v>1.0799055506125521</v>
      </c>
      <c r="AA281" s="610" t="str">
        <f t="shared" si="10"/>
        <v/>
      </c>
      <c r="AB281" s="609">
        <f t="shared" si="11"/>
        <v>0.57494353569228662</v>
      </c>
      <c r="AC281" s="610">
        <f t="shared" si="12"/>
        <v>0.74892204503456306</v>
      </c>
      <c r="AD281" s="610">
        <f t="shared" si="13"/>
        <v>1.0799055506125521</v>
      </c>
      <c r="AE281" s="611">
        <f t="shared" si="14"/>
        <v>1.1920216433051918</v>
      </c>
    </row>
    <row r="282" spans="2:31" x14ac:dyDescent="0.3">
      <c r="B282" s="451" t="s">
        <v>294</v>
      </c>
      <c r="C282" s="541">
        <v>125946</v>
      </c>
      <c r="D282" s="34">
        <v>76220</v>
      </c>
      <c r="E282" s="34">
        <v>52750</v>
      </c>
      <c r="F282" s="34">
        <v>44825</v>
      </c>
      <c r="G282" s="34">
        <v>45747</v>
      </c>
      <c r="H282" s="34">
        <v>46257</v>
      </c>
      <c r="I282" s="34">
        <v>80038</v>
      </c>
      <c r="J282" s="577">
        <v>40000</v>
      </c>
      <c r="K282" s="456">
        <v>33776</v>
      </c>
      <c r="L282" s="456">
        <v>17948</v>
      </c>
      <c r="N282" s="451" t="s">
        <v>294</v>
      </c>
      <c r="O282" s="34">
        <v>33776</v>
      </c>
      <c r="P282" s="34">
        <v>22350</v>
      </c>
      <c r="Q282" s="34">
        <v>24001</v>
      </c>
      <c r="R282" s="34">
        <v>36539</v>
      </c>
      <c r="S282" s="34">
        <v>43524</v>
      </c>
      <c r="T282" s="617">
        <v>17948</v>
      </c>
      <c r="U282" s="619">
        <f t="shared" si="4"/>
        <v>1.0738702460850111</v>
      </c>
      <c r="V282" s="620">
        <f t="shared" si="5"/>
        <v>1.5223949002124912</v>
      </c>
      <c r="W282" s="621">
        <f t="shared" si="6"/>
        <v>1.2452640962781369</v>
      </c>
      <c r="X282" s="609">
        <f t="shared" si="7"/>
        <v>0.66171245855045002</v>
      </c>
      <c r="Y282" s="610">
        <f t="shared" si="8"/>
        <v>0.71059332070108949</v>
      </c>
      <c r="Z282" s="610">
        <f t="shared" si="9"/>
        <v>1.0818036475603978</v>
      </c>
      <c r="AA282" s="610">
        <f t="shared" si="10"/>
        <v>1.2452640962781369</v>
      </c>
      <c r="AB282" s="609">
        <f t="shared" si="11"/>
        <v>0.66171245855045002</v>
      </c>
      <c r="AC282" s="610">
        <f t="shared" si="12"/>
        <v>0.71059332070108949</v>
      </c>
      <c r="AD282" s="610">
        <f t="shared" si="13"/>
        <v>1.0818036475603978</v>
      </c>
      <c r="AE282" s="611">
        <f t="shared" si="14"/>
        <v>1.2452640962781369</v>
      </c>
    </row>
    <row r="283" spans="2:31" x14ac:dyDescent="0.3">
      <c r="B283" s="451" t="s">
        <v>295</v>
      </c>
      <c r="C283" s="541">
        <v>72258</v>
      </c>
      <c r="D283" s="34">
        <v>71695</v>
      </c>
      <c r="E283" s="34">
        <v>49995</v>
      </c>
      <c r="F283" s="34">
        <v>45333</v>
      </c>
      <c r="G283" s="34">
        <v>45798</v>
      </c>
      <c r="H283" s="34">
        <v>31739</v>
      </c>
      <c r="I283" s="34">
        <v>52224</v>
      </c>
      <c r="J283" s="577">
        <v>40000</v>
      </c>
      <c r="K283" s="456">
        <v>20350</v>
      </c>
      <c r="L283" s="456">
        <v>15309</v>
      </c>
      <c r="N283" s="451" t="s">
        <v>295</v>
      </c>
      <c r="O283" s="34">
        <v>20350</v>
      </c>
      <c r="P283" s="34">
        <v>18559</v>
      </c>
      <c r="Q283" s="34">
        <v>20546</v>
      </c>
      <c r="R283" s="34">
        <v>24245</v>
      </c>
      <c r="S283" s="34">
        <v>31057</v>
      </c>
      <c r="T283" s="617">
        <v>15309</v>
      </c>
      <c r="U283" s="619">
        <f t="shared" si="4"/>
        <v>1.1070639581874024</v>
      </c>
      <c r="V283" s="620">
        <f t="shared" si="5"/>
        <v>1.180035043317434</v>
      </c>
      <c r="W283" s="621">
        <f t="shared" si="6"/>
        <v>1.2122934221699653</v>
      </c>
      <c r="X283" s="609">
        <f t="shared" si="7"/>
        <v>0.91199017199017196</v>
      </c>
      <c r="Y283" s="610">
        <f t="shared" si="8"/>
        <v>1.0096314496314496</v>
      </c>
      <c r="Z283" s="610">
        <f t="shared" si="9"/>
        <v>1.1914004914004914</v>
      </c>
      <c r="AA283" s="610">
        <f t="shared" si="10"/>
        <v>1.2122934221699653</v>
      </c>
      <c r="AB283" s="609">
        <f t="shared" si="11"/>
        <v>0.91199017199017196</v>
      </c>
      <c r="AC283" s="610">
        <f t="shared" si="12"/>
        <v>1.0096314496314496</v>
      </c>
      <c r="AD283" s="610">
        <f t="shared" si="13"/>
        <v>1.1914004914004914</v>
      </c>
      <c r="AE283" s="611">
        <f t="shared" si="14"/>
        <v>1.2122934221699653</v>
      </c>
    </row>
    <row r="284" spans="2:31" x14ac:dyDescent="0.3">
      <c r="B284" s="451" t="s">
        <v>296</v>
      </c>
      <c r="C284" s="541">
        <v>97346</v>
      </c>
      <c r="D284" s="34">
        <v>72050</v>
      </c>
      <c r="E284" s="34">
        <v>40564</v>
      </c>
      <c r="F284" s="34">
        <v>35926</v>
      </c>
      <c r="G284" s="34">
        <v>42955</v>
      </c>
      <c r="H284" s="34">
        <v>29531</v>
      </c>
      <c r="I284" s="34">
        <v>73414</v>
      </c>
      <c r="J284" s="577">
        <v>40000</v>
      </c>
      <c r="K284" s="456">
        <v>29265</v>
      </c>
      <c r="L284" s="456">
        <v>22362</v>
      </c>
      <c r="N284" s="451" t="s">
        <v>296</v>
      </c>
      <c r="O284" s="34">
        <v>29265</v>
      </c>
      <c r="P284" s="34">
        <v>28340</v>
      </c>
      <c r="Q284" s="34">
        <v>25485</v>
      </c>
      <c r="R284" s="34">
        <v>29073</v>
      </c>
      <c r="S284" s="34">
        <v>37053</v>
      </c>
      <c r="T284" s="617">
        <v>22362</v>
      </c>
      <c r="U284" s="619">
        <f t="shared" si="4"/>
        <v>0.89925899788285113</v>
      </c>
      <c r="V284" s="620">
        <f t="shared" si="5"/>
        <v>1.1407886992348439</v>
      </c>
      <c r="W284" s="621">
        <f t="shared" si="6"/>
        <v>1.2673285037116537</v>
      </c>
      <c r="X284" s="609" t="str">
        <f t="shared" si="7"/>
        <v/>
      </c>
      <c r="Y284" s="610" t="str">
        <f t="shared" si="8"/>
        <v/>
      </c>
      <c r="Z284" s="610" t="str">
        <f t="shared" si="9"/>
        <v/>
      </c>
      <c r="AA284" s="610" t="str">
        <f t="shared" si="10"/>
        <v/>
      </c>
      <c r="AB284" s="609">
        <f t="shared" si="11"/>
        <v>0.71369091989134437</v>
      </c>
      <c r="AC284" s="610">
        <f t="shared" si="12"/>
        <v>0.8575769867275912</v>
      </c>
      <c r="AD284" s="610">
        <f t="shared" si="13"/>
        <v>1.0484337415808089</v>
      </c>
      <c r="AE284" s="611">
        <f t="shared" si="14"/>
        <v>1.1920216433051918</v>
      </c>
    </row>
    <row r="285" spans="2:31" x14ac:dyDescent="0.3">
      <c r="B285" s="451" t="s">
        <v>297</v>
      </c>
      <c r="C285" s="541">
        <v>95511</v>
      </c>
      <c r="D285" s="34">
        <v>68478</v>
      </c>
      <c r="E285" s="34">
        <v>48685</v>
      </c>
      <c r="F285" s="34">
        <v>38147</v>
      </c>
      <c r="G285" s="34">
        <v>45371</v>
      </c>
      <c r="H285" s="34">
        <v>40952</v>
      </c>
      <c r="I285" s="34">
        <v>55967</v>
      </c>
      <c r="J285" s="577">
        <v>40000</v>
      </c>
      <c r="K285" s="456">
        <v>31922</v>
      </c>
      <c r="L285" s="456">
        <v>18737</v>
      </c>
      <c r="N285" s="451" t="s">
        <v>297</v>
      </c>
      <c r="O285" s="34">
        <v>31922</v>
      </c>
      <c r="P285" s="34">
        <v>27745</v>
      </c>
      <c r="Q285" s="34">
        <v>26475</v>
      </c>
      <c r="R285" s="34">
        <v>33235</v>
      </c>
      <c r="S285" s="34">
        <v>41678</v>
      </c>
      <c r="T285" s="617">
        <v>18737</v>
      </c>
      <c r="U285" s="619">
        <f t="shared" si="4"/>
        <v>0.95422598666426384</v>
      </c>
      <c r="V285" s="620">
        <f t="shared" si="5"/>
        <v>1.2553352219074598</v>
      </c>
      <c r="W285" s="621">
        <f t="shared" si="6"/>
        <v>1.4807599935955595</v>
      </c>
      <c r="X285" s="609" t="str">
        <f t="shared" si="7"/>
        <v/>
      </c>
      <c r="Y285" s="610" t="str">
        <f t="shared" si="8"/>
        <v/>
      </c>
      <c r="Z285" s="610" t="str">
        <f t="shared" si="9"/>
        <v/>
      </c>
      <c r="AA285" s="610" t="str">
        <f t="shared" si="10"/>
        <v/>
      </c>
      <c r="AB285" s="609">
        <f t="shared" si="11"/>
        <v>0.71369091989134437</v>
      </c>
      <c r="AC285" s="610">
        <f t="shared" si="12"/>
        <v>0.8575769867275912</v>
      </c>
      <c r="AD285" s="610">
        <f t="shared" si="13"/>
        <v>1.0484337415808089</v>
      </c>
      <c r="AE285" s="611">
        <f t="shared" si="14"/>
        <v>1.1920216433051918</v>
      </c>
    </row>
    <row r="286" spans="2:31" x14ac:dyDescent="0.3">
      <c r="B286" s="451" t="s">
        <v>298</v>
      </c>
      <c r="C286" s="541">
        <v>108363</v>
      </c>
      <c r="D286" s="34">
        <v>79761</v>
      </c>
      <c r="E286" s="34">
        <v>50622</v>
      </c>
      <c r="F286" s="34">
        <v>48078</v>
      </c>
      <c r="G286" s="34">
        <v>48143</v>
      </c>
      <c r="H286" s="34">
        <v>42052</v>
      </c>
      <c r="I286" s="34">
        <v>73076</v>
      </c>
      <c r="J286" s="577">
        <v>40000</v>
      </c>
      <c r="K286" s="456">
        <v>28385</v>
      </c>
      <c r="L286" s="456">
        <v>19376</v>
      </c>
      <c r="N286" s="451" t="s">
        <v>298</v>
      </c>
      <c r="O286" s="34">
        <v>28385</v>
      </c>
      <c r="P286" s="34">
        <v>16548</v>
      </c>
      <c r="Q286" s="34">
        <v>28234</v>
      </c>
      <c r="R286" s="34">
        <v>28693</v>
      </c>
      <c r="S286" s="34">
        <v>30703</v>
      </c>
      <c r="T286" s="617">
        <v>19376</v>
      </c>
      <c r="U286" s="619">
        <f t="shared" si="4"/>
        <v>1.7061880589799372</v>
      </c>
      <c r="V286" s="620">
        <f t="shared" si="5"/>
        <v>1.016256995112276</v>
      </c>
      <c r="W286" s="621">
        <f t="shared" si="6"/>
        <v>0.85404624277456642</v>
      </c>
      <c r="X286" s="609">
        <f t="shared" si="7"/>
        <v>0.58298397040690508</v>
      </c>
      <c r="Y286" s="610">
        <f t="shared" si="8"/>
        <v>0.99468028888497451</v>
      </c>
      <c r="Z286" s="610">
        <f t="shared" si="9"/>
        <v>1.0108508014796547</v>
      </c>
      <c r="AA286" s="610" t="str">
        <f t="shared" si="10"/>
        <v/>
      </c>
      <c r="AB286" s="609">
        <f t="shared" si="11"/>
        <v>0.58298397040690508</v>
      </c>
      <c r="AC286" s="610">
        <f t="shared" si="12"/>
        <v>0.99468028888497451</v>
      </c>
      <c r="AD286" s="610">
        <f t="shared" si="13"/>
        <v>1.0108508014796547</v>
      </c>
      <c r="AE286" s="611">
        <f t="shared" si="14"/>
        <v>1.1920216433051918</v>
      </c>
    </row>
    <row r="287" spans="2:31" x14ac:dyDescent="0.3">
      <c r="B287" s="451" t="s">
        <v>299</v>
      </c>
      <c r="C287" s="541">
        <v>86096</v>
      </c>
      <c r="D287" s="34">
        <v>68695</v>
      </c>
      <c r="E287" s="34">
        <v>41792</v>
      </c>
      <c r="F287" s="34">
        <v>37850</v>
      </c>
      <c r="G287" s="34">
        <v>39676</v>
      </c>
      <c r="H287" s="34">
        <v>37278</v>
      </c>
      <c r="I287" s="34">
        <v>59409</v>
      </c>
      <c r="J287" s="577">
        <v>40000</v>
      </c>
      <c r="K287" s="456">
        <v>32518</v>
      </c>
      <c r="L287" s="456">
        <v>19121</v>
      </c>
      <c r="N287" s="451" t="s">
        <v>299</v>
      </c>
      <c r="O287" s="34">
        <v>32518</v>
      </c>
      <c r="P287" s="34">
        <v>17057</v>
      </c>
      <c r="Q287" s="34">
        <v>21068</v>
      </c>
      <c r="R287" s="34">
        <v>31691</v>
      </c>
      <c r="S287" s="34">
        <v>44204</v>
      </c>
      <c r="T287" s="617">
        <v>19121</v>
      </c>
      <c r="U287" s="619">
        <f t="shared" si="4"/>
        <v>1.2351527232221375</v>
      </c>
      <c r="V287" s="620">
        <f t="shared" si="5"/>
        <v>1.5042244161761913</v>
      </c>
      <c r="W287" s="621">
        <f t="shared" si="6"/>
        <v>0.8920558548193086</v>
      </c>
      <c r="X287" s="609">
        <f t="shared" si="7"/>
        <v>0.52454025462820597</v>
      </c>
      <c r="Y287" s="610">
        <f t="shared" si="8"/>
        <v>0.647887323943662</v>
      </c>
      <c r="Z287" s="610">
        <f t="shared" si="9"/>
        <v>0.97456793160710986</v>
      </c>
      <c r="AA287" s="610" t="str">
        <f t="shared" si="10"/>
        <v/>
      </c>
      <c r="AB287" s="609">
        <f t="shared" si="11"/>
        <v>0.52454025462820597</v>
      </c>
      <c r="AC287" s="610">
        <f t="shared" si="12"/>
        <v>0.647887323943662</v>
      </c>
      <c r="AD287" s="610">
        <f t="shared" si="13"/>
        <v>1.0484337415808089</v>
      </c>
      <c r="AE287" s="611">
        <f t="shared" si="14"/>
        <v>1.1920216433051918</v>
      </c>
    </row>
    <row r="288" spans="2:31" x14ac:dyDescent="0.3">
      <c r="B288" s="451" t="s">
        <v>300</v>
      </c>
      <c r="C288" s="541">
        <v>65294</v>
      </c>
      <c r="D288" s="34">
        <v>46626</v>
      </c>
      <c r="E288" s="34">
        <v>42465</v>
      </c>
      <c r="F288" s="34">
        <v>31186</v>
      </c>
      <c r="G288" s="34">
        <v>34479</v>
      </c>
      <c r="H288" s="34">
        <v>37203</v>
      </c>
      <c r="I288" s="34">
        <v>63470</v>
      </c>
      <c r="J288" s="577">
        <v>40000</v>
      </c>
      <c r="K288" s="456">
        <v>28673</v>
      </c>
      <c r="L288" s="456">
        <v>19854</v>
      </c>
      <c r="N288" s="451" t="s">
        <v>300</v>
      </c>
      <c r="O288" s="34">
        <v>28673</v>
      </c>
      <c r="P288" s="34">
        <v>48849</v>
      </c>
      <c r="Q288" s="34">
        <v>24784</v>
      </c>
      <c r="R288" s="34">
        <v>29429</v>
      </c>
      <c r="S288" s="34">
        <v>58217</v>
      </c>
      <c r="T288" s="617">
        <v>19854</v>
      </c>
      <c r="U288" s="619">
        <f t="shared" si="4"/>
        <v>0.5073594137034535</v>
      </c>
      <c r="V288" s="620">
        <f t="shared" si="5"/>
        <v>1.1874193027759845</v>
      </c>
      <c r="W288" s="621">
        <f t="shared" si="6"/>
        <v>2.4604110003022059</v>
      </c>
      <c r="X288" s="609" t="str">
        <f t="shared" si="7"/>
        <v/>
      </c>
      <c r="Y288" s="610" t="str">
        <f t="shared" si="8"/>
        <v/>
      </c>
      <c r="Z288" s="610" t="str">
        <f t="shared" si="9"/>
        <v/>
      </c>
      <c r="AA288" s="610" t="str">
        <f t="shared" si="10"/>
        <v/>
      </c>
      <c r="AB288" s="609">
        <f t="shared" si="11"/>
        <v>0.71369091989134437</v>
      </c>
      <c r="AC288" s="610">
        <f t="shared" si="12"/>
        <v>0.8575769867275912</v>
      </c>
      <c r="AD288" s="610">
        <f t="shared" si="13"/>
        <v>1.0484337415808089</v>
      </c>
      <c r="AE288" s="611">
        <f t="shared" si="14"/>
        <v>1.1920216433051918</v>
      </c>
    </row>
    <row r="289" spans="1:31" ht="15" thickBot="1" x14ac:dyDescent="0.35">
      <c r="B289" s="452" t="s">
        <v>301</v>
      </c>
      <c r="C289" s="542">
        <v>69515</v>
      </c>
      <c r="D289" s="543">
        <v>47971</v>
      </c>
      <c r="E289" s="543">
        <v>43323</v>
      </c>
      <c r="F289" s="543">
        <v>29157</v>
      </c>
      <c r="G289" s="543">
        <v>42639</v>
      </c>
      <c r="H289" s="543">
        <v>39429</v>
      </c>
      <c r="I289" s="543">
        <v>51179</v>
      </c>
      <c r="J289" s="578">
        <v>40000</v>
      </c>
      <c r="K289" s="456">
        <v>27387</v>
      </c>
      <c r="L289" s="456">
        <v>15281</v>
      </c>
      <c r="N289" s="452" t="s">
        <v>301</v>
      </c>
      <c r="O289" s="543">
        <v>27387</v>
      </c>
      <c r="P289" s="543">
        <v>21230</v>
      </c>
      <c r="Q289" s="543">
        <v>23443</v>
      </c>
      <c r="R289" s="543">
        <v>27023</v>
      </c>
      <c r="S289" s="543">
        <v>39708</v>
      </c>
      <c r="T289" s="618">
        <v>15281</v>
      </c>
      <c r="U289" s="622">
        <f t="shared" si="4"/>
        <v>1.1042392840320301</v>
      </c>
      <c r="V289" s="623">
        <f t="shared" si="5"/>
        <v>1.1527108305251035</v>
      </c>
      <c r="W289" s="624">
        <f t="shared" si="6"/>
        <v>1.3893069825273214</v>
      </c>
      <c r="X289" s="612">
        <f t="shared" si="7"/>
        <v>0.77518530689743304</v>
      </c>
      <c r="Y289" s="613">
        <f t="shared" si="8"/>
        <v>0.85599006828057111</v>
      </c>
      <c r="Z289" s="613">
        <f t="shared" si="9"/>
        <v>0.98670902252893711</v>
      </c>
      <c r="AA289" s="613">
        <f t="shared" si="10"/>
        <v>1.3893069825273214</v>
      </c>
      <c r="AB289" s="612">
        <f t="shared" si="11"/>
        <v>0.77518530689743304</v>
      </c>
      <c r="AC289" s="613">
        <f t="shared" si="12"/>
        <v>0.85599006828057111</v>
      </c>
      <c r="AD289" s="613">
        <f t="shared" si="13"/>
        <v>1.0484337415808089</v>
      </c>
      <c r="AE289" s="614">
        <f t="shared" si="14"/>
        <v>1.3893069825273214</v>
      </c>
    </row>
    <row r="290" spans="1:31" x14ac:dyDescent="0.3">
      <c r="N290" s="605" t="s">
        <v>852</v>
      </c>
      <c r="O290" s="604">
        <v>29967.588235294119</v>
      </c>
      <c r="P290" s="604">
        <v>22803.785714285714</v>
      </c>
      <c r="Q290" s="604">
        <v>24638.921568627451</v>
      </c>
      <c r="R290" s="604">
        <v>30851.568627450979</v>
      </c>
      <c r="S290" s="604">
        <v>37459.300000000003</v>
      </c>
      <c r="T290" s="604">
        <v>18404.078431372549</v>
      </c>
      <c r="AA290" s="606" t="str">
        <f t="shared" si="10"/>
        <v/>
      </c>
    </row>
    <row r="291" spans="1:31" x14ac:dyDescent="0.3">
      <c r="N291" s="605" t="s">
        <v>853</v>
      </c>
      <c r="O291" s="604" t="s">
        <v>854</v>
      </c>
      <c r="P291" s="604" t="s">
        <v>854</v>
      </c>
      <c r="Q291" s="604" t="s">
        <v>854</v>
      </c>
      <c r="R291" s="604" t="s">
        <v>854</v>
      </c>
      <c r="S291" s="604" t="s">
        <v>854</v>
      </c>
      <c r="T291" s="604" t="s">
        <v>854</v>
      </c>
      <c r="AA291" s="606" t="str">
        <f t="shared" si="10"/>
        <v/>
      </c>
    </row>
    <row r="292" spans="1:31" x14ac:dyDescent="0.3">
      <c r="N292" s="605" t="s">
        <v>851</v>
      </c>
      <c r="O292" s="604">
        <v>82320</v>
      </c>
      <c r="P292" s="604" t="s">
        <v>812</v>
      </c>
      <c r="Q292" s="604">
        <v>32649</v>
      </c>
      <c r="R292" s="604">
        <v>84056</v>
      </c>
      <c r="S292" s="604">
        <v>83270</v>
      </c>
      <c r="T292" s="604">
        <v>29193</v>
      </c>
      <c r="AA292" s="606" t="str">
        <f t="shared" si="10"/>
        <v/>
      </c>
    </row>
    <row r="293" spans="1:31" x14ac:dyDescent="0.3">
      <c r="O293" s="601"/>
      <c r="P293" s="601"/>
      <c r="Q293" s="601"/>
      <c r="R293" s="601"/>
      <c r="S293" s="601"/>
      <c r="T293" s="601"/>
    </row>
    <row r="294" spans="1:31" ht="16.2" x14ac:dyDescent="0.3">
      <c r="N294" t="s">
        <v>857</v>
      </c>
      <c r="O294" s="601"/>
      <c r="P294" s="601"/>
      <c r="Q294" s="601"/>
      <c r="R294" s="601"/>
      <c r="S294" s="601"/>
      <c r="T294" s="601"/>
    </row>
    <row r="295" spans="1:31" ht="16.2" x14ac:dyDescent="0.3">
      <c r="N295" t="s">
        <v>856</v>
      </c>
      <c r="O295" s="601"/>
      <c r="P295" s="601"/>
      <c r="Q295" s="601"/>
      <c r="R295" s="601"/>
      <c r="S295" s="601"/>
      <c r="T295" s="601"/>
    </row>
    <row r="296" spans="1:31" x14ac:dyDescent="0.3">
      <c r="O296" s="601"/>
      <c r="P296" s="601"/>
      <c r="Q296" s="601"/>
      <c r="R296" s="601"/>
      <c r="S296" s="601"/>
      <c r="T296" s="601"/>
    </row>
    <row r="298" spans="1:31" ht="15.6" x14ac:dyDescent="0.3">
      <c r="A298" s="640" t="s">
        <v>931</v>
      </c>
    </row>
    <row r="299" spans="1:31" x14ac:dyDescent="0.3">
      <c r="A299" s="653" t="s">
        <v>951</v>
      </c>
      <c r="C299" s="641"/>
      <c r="D299" s="641"/>
      <c r="E299" s="641"/>
      <c r="F299" s="641"/>
      <c r="G299" s="642"/>
      <c r="H299" s="641"/>
      <c r="I299" s="641"/>
      <c r="J299" s="641"/>
      <c r="K299" s="641"/>
      <c r="L299" s="641"/>
      <c r="M299" s="641"/>
      <c r="N299" s="641"/>
      <c r="O299" s="641"/>
      <c r="P299" s="641"/>
    </row>
    <row r="300" spans="1:31" x14ac:dyDescent="0.3">
      <c r="A300" s="653" t="s">
        <v>943</v>
      </c>
      <c r="C300" s="641"/>
      <c r="D300" s="641"/>
      <c r="E300" s="641"/>
      <c r="F300" s="641"/>
      <c r="G300" s="642"/>
      <c r="H300" s="641"/>
      <c r="O300" s="641"/>
      <c r="P300" s="641"/>
    </row>
    <row r="301" spans="1:31" ht="15" thickBot="1" x14ac:dyDescent="0.35">
      <c r="A301" s="653"/>
      <c r="C301" s="641"/>
      <c r="D301" s="641"/>
      <c r="E301" s="641"/>
      <c r="F301" s="641"/>
      <c r="G301" s="642"/>
      <c r="H301" s="641"/>
      <c r="O301" s="641"/>
      <c r="P301" s="641"/>
    </row>
    <row r="302" spans="1:31" ht="72.599999999999994" thickBot="1" x14ac:dyDescent="0.35">
      <c r="B302" s="643"/>
      <c r="C302" s="644" t="s">
        <v>927</v>
      </c>
      <c r="D302" s="645" t="s">
        <v>928</v>
      </c>
      <c r="E302" s="646" t="s">
        <v>929</v>
      </c>
      <c r="F302" s="665" t="s">
        <v>930</v>
      </c>
      <c r="G302" s="682" t="s">
        <v>944</v>
      </c>
      <c r="H302" s="678" t="s">
        <v>945</v>
      </c>
      <c r="I302" s="684" t="s">
        <v>947</v>
      </c>
      <c r="J302" s="666" t="s">
        <v>948</v>
      </c>
      <c r="K302" s="666" t="s">
        <v>950</v>
      </c>
      <c r="L302" s="667" t="s">
        <v>949</v>
      </c>
    </row>
    <row r="303" spans="1:31" x14ac:dyDescent="0.3">
      <c r="B303" s="450" t="s">
        <v>252</v>
      </c>
      <c r="C303" s="647">
        <v>0.53829557713052856</v>
      </c>
      <c r="D303" s="648">
        <v>0.41747572815533979</v>
      </c>
      <c r="E303" s="651">
        <v>4.4228694714131656E-2</v>
      </c>
      <c r="F303" s="664">
        <v>0.68057553956834538</v>
      </c>
      <c r="G303" s="683">
        <v>0.31942446043165462</v>
      </c>
      <c r="H303" s="679">
        <v>0.77669902912621358</v>
      </c>
      <c r="I303" s="668">
        <v>0.1834625322997416</v>
      </c>
      <c r="J303" s="669">
        <v>0.36585365853658536</v>
      </c>
      <c r="K303" s="648">
        <v>0.49758454106280192</v>
      </c>
      <c r="L303" s="670">
        <v>0.41891891891891891</v>
      </c>
    </row>
    <row r="304" spans="1:31" x14ac:dyDescent="0.3">
      <c r="B304" s="451" t="s">
        <v>253</v>
      </c>
      <c r="C304" s="649">
        <v>0.41333333333333333</v>
      </c>
      <c r="D304" s="378">
        <v>0.42666666666666669</v>
      </c>
      <c r="E304" s="392">
        <v>0.15999999999999998</v>
      </c>
      <c r="F304" s="649">
        <v>0.45121951219512196</v>
      </c>
      <c r="G304" s="561">
        <v>0.54878048780487809</v>
      </c>
      <c r="H304" s="680">
        <v>0.68</v>
      </c>
      <c r="I304" s="671">
        <v>0.5</v>
      </c>
      <c r="J304" s="659">
        <v>0.91666666666666663</v>
      </c>
      <c r="K304" s="378">
        <v>1</v>
      </c>
      <c r="L304" s="672">
        <v>0.71111111111111114</v>
      </c>
    </row>
    <row r="305" spans="2:12" x14ac:dyDescent="0.3">
      <c r="B305" s="451" t="s">
        <v>254</v>
      </c>
      <c r="C305" s="649">
        <v>0.51588785046728969</v>
      </c>
      <c r="D305" s="378">
        <v>0.45420560747663552</v>
      </c>
      <c r="E305" s="392">
        <v>2.9906542056074792E-2</v>
      </c>
      <c r="F305" s="649">
        <v>0.63686131386861311</v>
      </c>
      <c r="G305" s="561">
        <v>0.36313868613138689</v>
      </c>
      <c r="H305" s="680">
        <v>0.74205607476635516</v>
      </c>
      <c r="I305" s="671">
        <v>0.20576131687242799</v>
      </c>
      <c r="J305" s="659">
        <v>0.9375</v>
      </c>
      <c r="K305" s="378">
        <v>0.52898550724637683</v>
      </c>
      <c r="L305" s="672">
        <v>0.71356783919597988</v>
      </c>
    </row>
    <row r="306" spans="2:12" x14ac:dyDescent="0.3">
      <c r="B306" s="451" t="s">
        <v>255</v>
      </c>
      <c r="C306" s="649">
        <v>0.6127562642369021</v>
      </c>
      <c r="D306" s="378">
        <v>0.35307517084282458</v>
      </c>
      <c r="E306" s="392">
        <v>3.4168564920273314E-2</v>
      </c>
      <c r="F306" s="649">
        <v>0.66426858513189446</v>
      </c>
      <c r="G306" s="561">
        <v>0.33573141486810554</v>
      </c>
      <c r="H306" s="680">
        <v>0.61047835990888377</v>
      </c>
      <c r="I306" s="671">
        <v>0.23870967741935484</v>
      </c>
      <c r="J306" s="659">
        <v>0.26666666666666666</v>
      </c>
      <c r="K306" s="378">
        <v>0.2807017543859649</v>
      </c>
      <c r="L306" s="672">
        <v>0.36428571428571427</v>
      </c>
    </row>
    <row r="307" spans="2:12" x14ac:dyDescent="0.3">
      <c r="B307" s="451" t="s">
        <v>256</v>
      </c>
      <c r="C307" s="649">
        <v>0.6241860465116279</v>
      </c>
      <c r="D307" s="378">
        <v>0.33488372093023255</v>
      </c>
      <c r="E307" s="392">
        <v>4.0930232558139545E-2</v>
      </c>
      <c r="F307" s="649">
        <v>0.69049449141685881</v>
      </c>
      <c r="G307" s="561">
        <v>0.30950550858314119</v>
      </c>
      <c r="H307" s="680">
        <v>0.63720930232558137</v>
      </c>
      <c r="I307" s="671">
        <v>0.2048611111111111</v>
      </c>
      <c r="J307" s="659">
        <v>0.69886363636363635</v>
      </c>
      <c r="K307" s="378">
        <v>0.3282051282051282</v>
      </c>
      <c r="L307" s="672">
        <v>0.44444444444444442</v>
      </c>
    </row>
    <row r="308" spans="2:12" x14ac:dyDescent="0.3">
      <c r="B308" s="451" t="s">
        <v>257</v>
      </c>
      <c r="C308" s="649">
        <v>0.65576923076923077</v>
      </c>
      <c r="D308" s="378">
        <v>0.31730769230769229</v>
      </c>
      <c r="E308" s="392">
        <v>2.6923076923076938E-2</v>
      </c>
      <c r="F308" s="649">
        <v>0.532258064516129</v>
      </c>
      <c r="G308" s="561">
        <v>0.467741935483871</v>
      </c>
      <c r="H308" s="680">
        <v>0.71730769230769231</v>
      </c>
      <c r="I308" s="671">
        <v>0.23030303030303031</v>
      </c>
      <c r="J308" s="659">
        <v>0.69230769230769229</v>
      </c>
      <c r="K308" s="378">
        <v>0.40816326530612246</v>
      </c>
      <c r="L308" s="672">
        <v>0.56206896551724139</v>
      </c>
    </row>
    <row r="309" spans="2:12" x14ac:dyDescent="0.3">
      <c r="B309" s="451" t="s">
        <v>258</v>
      </c>
      <c r="C309" s="649">
        <v>0.63736263736263732</v>
      </c>
      <c r="D309" s="378">
        <v>0.30494505494505497</v>
      </c>
      <c r="E309" s="392">
        <v>5.7692307692307709E-2</v>
      </c>
      <c r="F309" s="649">
        <v>0.54977375565610864</v>
      </c>
      <c r="G309" s="561">
        <v>0.45022624434389136</v>
      </c>
      <c r="H309" s="680">
        <v>0.72252747252747251</v>
      </c>
      <c r="I309" s="671">
        <v>0.36936936936936937</v>
      </c>
      <c r="J309" s="659">
        <v>0.61904761904761907</v>
      </c>
      <c r="K309" s="378">
        <v>0.63366336633663367</v>
      </c>
      <c r="L309" s="672">
        <v>0.33165829145728642</v>
      </c>
    </row>
    <row r="310" spans="2:12" x14ac:dyDescent="0.3">
      <c r="B310" s="451" t="s">
        <v>259</v>
      </c>
      <c r="C310" s="649">
        <v>0.79104477611940294</v>
      </c>
      <c r="D310" s="378">
        <v>0.20895522388059701</v>
      </c>
      <c r="E310" s="392">
        <v>0</v>
      </c>
      <c r="F310" s="649">
        <v>0.61855670103092786</v>
      </c>
      <c r="G310" s="561">
        <v>0.38144329896907214</v>
      </c>
      <c r="H310" s="680">
        <v>0.58208955223880599</v>
      </c>
      <c r="I310" s="671">
        <v>0.35714285714285715</v>
      </c>
      <c r="J310" s="659">
        <v>0</v>
      </c>
      <c r="K310" s="378">
        <v>0.17857142857142858</v>
      </c>
      <c r="L310" s="672">
        <v>0.10810810810810811</v>
      </c>
    </row>
    <row r="311" spans="2:12" x14ac:dyDescent="0.3">
      <c r="B311" s="451" t="s">
        <v>1081</v>
      </c>
      <c r="C311" s="649">
        <v>0.98016997167138808</v>
      </c>
      <c r="D311" s="378">
        <v>1.69971671388102E-2</v>
      </c>
      <c r="E311" s="392">
        <v>2.832861189801715E-3</v>
      </c>
      <c r="F311" s="649">
        <v>0.3554913294797688</v>
      </c>
      <c r="G311" s="561">
        <v>0.6445086705202312</v>
      </c>
      <c r="H311" s="680">
        <v>0.33994334277620397</v>
      </c>
      <c r="I311" s="671">
        <v>0</v>
      </c>
      <c r="J311" s="659">
        <v>1</v>
      </c>
      <c r="K311" s="378">
        <v>4.2918454935622317E-3</v>
      </c>
      <c r="L311" s="672">
        <v>0.22869955156950672</v>
      </c>
    </row>
    <row r="312" spans="2:12" x14ac:dyDescent="0.3">
      <c r="B312" s="451" t="s">
        <v>260</v>
      </c>
      <c r="C312" s="649">
        <v>0.69004282655246252</v>
      </c>
      <c r="D312" s="378">
        <v>0.19914346895074947</v>
      </c>
      <c r="E312" s="392">
        <v>0.11081370449678801</v>
      </c>
      <c r="F312" s="649">
        <v>0.7153451226468911</v>
      </c>
      <c r="G312" s="561">
        <v>0.2846548773531089</v>
      </c>
      <c r="H312" s="680">
        <v>0.57441113490364026</v>
      </c>
      <c r="I312" s="671">
        <v>0.33602150537634407</v>
      </c>
      <c r="J312" s="659">
        <v>0.35748792270531399</v>
      </c>
      <c r="K312" s="378">
        <v>0.29433962264150942</v>
      </c>
      <c r="L312" s="672">
        <v>0.14228456913827656</v>
      </c>
    </row>
    <row r="313" spans="2:12" x14ac:dyDescent="0.3">
      <c r="B313" s="451" t="s">
        <v>261</v>
      </c>
      <c r="C313" s="649">
        <v>0.75642087821043913</v>
      </c>
      <c r="D313" s="378">
        <v>0.23032311516155757</v>
      </c>
      <c r="E313" s="392">
        <v>1.3256006628003303E-2</v>
      </c>
      <c r="F313" s="649">
        <v>0.88173773129525346</v>
      </c>
      <c r="G313" s="561">
        <v>0.11826226870474654</v>
      </c>
      <c r="H313" s="680">
        <v>0.86329743164871586</v>
      </c>
      <c r="I313" s="671">
        <v>0.19424460431654678</v>
      </c>
      <c r="J313" s="659">
        <v>0.4375</v>
      </c>
      <c r="K313" s="378">
        <v>0.49696969696969695</v>
      </c>
      <c r="L313" s="672">
        <v>0.14965986394557823</v>
      </c>
    </row>
    <row r="314" spans="2:12" x14ac:dyDescent="0.3">
      <c r="B314" s="451" t="s">
        <v>262</v>
      </c>
      <c r="C314" s="649">
        <v>0.54929577464788737</v>
      </c>
      <c r="D314" s="378">
        <v>0.40140845070422537</v>
      </c>
      <c r="E314" s="392">
        <v>4.9295774647887258E-2</v>
      </c>
      <c r="F314" s="649">
        <v>0.67469879518072284</v>
      </c>
      <c r="G314" s="561">
        <v>0.32530120481927716</v>
      </c>
      <c r="H314" s="680">
        <v>0.59154929577464788</v>
      </c>
      <c r="I314" s="671">
        <v>0.21052631578947367</v>
      </c>
      <c r="J314" s="659">
        <v>0.5714285714285714</v>
      </c>
      <c r="K314" s="378">
        <v>0.36206896551724138</v>
      </c>
      <c r="L314" s="672">
        <v>0.35849056603773582</v>
      </c>
    </row>
    <row r="315" spans="2:12" x14ac:dyDescent="0.3">
      <c r="B315" s="451" t="s">
        <v>263</v>
      </c>
      <c r="C315" s="649">
        <v>0.63076923076923075</v>
      </c>
      <c r="D315" s="378">
        <v>0.35384615384615387</v>
      </c>
      <c r="E315" s="392">
        <v>1.5384615384615385E-2</v>
      </c>
      <c r="F315" s="649">
        <v>0.55333333333333334</v>
      </c>
      <c r="G315" s="561">
        <v>0.44666666666666666</v>
      </c>
      <c r="H315" s="680">
        <v>0.76923076923076927</v>
      </c>
      <c r="I315" s="671">
        <v>0.28260869565217389</v>
      </c>
      <c r="J315" s="659">
        <v>0.5</v>
      </c>
      <c r="K315" s="378">
        <v>0.56666666666666665</v>
      </c>
      <c r="L315" s="672">
        <v>0.62686567164179108</v>
      </c>
    </row>
    <row r="316" spans="2:12" x14ac:dyDescent="0.3">
      <c r="B316" s="451" t="s">
        <v>264</v>
      </c>
      <c r="C316" s="649">
        <v>0.85580524344569286</v>
      </c>
      <c r="D316" s="378">
        <v>0.13982521847690388</v>
      </c>
      <c r="E316" s="392">
        <v>4.3695380774032566E-3</v>
      </c>
      <c r="F316" s="649">
        <v>0.59534883720930232</v>
      </c>
      <c r="G316" s="561">
        <v>0.40465116279069768</v>
      </c>
      <c r="H316" s="680">
        <v>0.74968789013732839</v>
      </c>
      <c r="I316" s="671">
        <v>0.30357142857142855</v>
      </c>
      <c r="J316" s="659">
        <v>0.7142857142857143</v>
      </c>
      <c r="K316" s="378">
        <v>0.23690773067331672</v>
      </c>
      <c r="L316" s="672">
        <v>0.28014842300556586</v>
      </c>
    </row>
    <row r="317" spans="2:12" x14ac:dyDescent="0.3">
      <c r="B317" s="451" t="s">
        <v>265</v>
      </c>
      <c r="C317" s="649">
        <v>0.58659217877094971</v>
      </c>
      <c r="D317" s="378">
        <v>0.4022346368715084</v>
      </c>
      <c r="E317" s="392">
        <v>1.1173184357541888E-2</v>
      </c>
      <c r="F317" s="649">
        <v>0.65494137353433834</v>
      </c>
      <c r="G317" s="561">
        <v>0.34505862646566166</v>
      </c>
      <c r="H317" s="680">
        <v>0.71880819366852888</v>
      </c>
      <c r="I317" s="671">
        <v>0.35648148148148145</v>
      </c>
      <c r="J317" s="659">
        <v>0.5</v>
      </c>
      <c r="K317" s="378">
        <v>0.57615894039735094</v>
      </c>
      <c r="L317" s="672">
        <v>0.56796116504854366</v>
      </c>
    </row>
    <row r="318" spans="2:12" x14ac:dyDescent="0.3">
      <c r="B318" s="451" t="s">
        <v>266</v>
      </c>
      <c r="C318" s="649">
        <v>0.87223587223587229</v>
      </c>
      <c r="D318" s="378">
        <v>0.11302211302211303</v>
      </c>
      <c r="E318" s="392">
        <v>1.4742014742014684E-2</v>
      </c>
      <c r="F318" s="649">
        <v>0.61420345489443373</v>
      </c>
      <c r="G318" s="561">
        <v>0.38579654510556627</v>
      </c>
      <c r="H318" s="680">
        <v>0.75429975429975427</v>
      </c>
      <c r="I318" s="671">
        <v>0.15217391304347827</v>
      </c>
      <c r="J318" s="659">
        <v>0.66666666666666663</v>
      </c>
      <c r="K318" s="378">
        <v>0.11</v>
      </c>
      <c r="L318" s="672">
        <v>0.49748743718592964</v>
      </c>
    </row>
    <row r="319" spans="2:12" x14ac:dyDescent="0.3">
      <c r="B319" s="451" t="s">
        <v>267</v>
      </c>
      <c r="C319" s="649">
        <v>0.72013651877133111</v>
      </c>
      <c r="D319" s="378">
        <v>0.19112627986348124</v>
      </c>
      <c r="E319" s="392">
        <v>8.8737201365187646E-2</v>
      </c>
      <c r="F319" s="649">
        <v>0.51832460732984298</v>
      </c>
      <c r="G319" s="561">
        <v>0.48167539267015702</v>
      </c>
      <c r="H319" s="680">
        <v>0.61774744027303752</v>
      </c>
      <c r="I319" s="671">
        <v>0.35714285714285715</v>
      </c>
      <c r="J319" s="659">
        <v>0.65384615384615385</v>
      </c>
      <c r="K319" s="378">
        <v>0.42857142857142855</v>
      </c>
      <c r="L319" s="672">
        <v>0.54891304347826086</v>
      </c>
    </row>
    <row r="320" spans="2:12" x14ac:dyDescent="0.3">
      <c r="B320" s="451" t="s">
        <v>268</v>
      </c>
      <c r="C320" s="649">
        <v>0.6765714285714286</v>
      </c>
      <c r="D320" s="378">
        <v>0.25942857142857145</v>
      </c>
      <c r="E320" s="392">
        <v>6.3999999999999946E-2</v>
      </c>
      <c r="F320" s="649">
        <v>0.68398727465535525</v>
      </c>
      <c r="G320" s="561">
        <v>0.31601272534464475</v>
      </c>
      <c r="H320" s="680">
        <v>0.73371428571428576</v>
      </c>
      <c r="I320" s="671">
        <v>0.19383259911894274</v>
      </c>
      <c r="J320" s="659">
        <v>0.7321428571428571</v>
      </c>
      <c r="K320" s="378">
        <v>0.50214592274678116</v>
      </c>
      <c r="L320" s="672">
        <v>0.39597315436241609</v>
      </c>
    </row>
    <row r="321" spans="2:12" x14ac:dyDescent="0.3">
      <c r="B321" s="451" t="s">
        <v>269</v>
      </c>
      <c r="C321" s="649">
        <v>0.62233502538071062</v>
      </c>
      <c r="D321" s="378">
        <v>0.35126903553299493</v>
      </c>
      <c r="E321" s="392">
        <v>2.6395939086294451E-2</v>
      </c>
      <c r="F321" s="649">
        <v>0.66936299292214363</v>
      </c>
      <c r="G321" s="561">
        <v>0.33063700707785637</v>
      </c>
      <c r="H321" s="680">
        <v>0.64568527918781726</v>
      </c>
      <c r="I321" s="671">
        <v>0.16763005780346821</v>
      </c>
      <c r="J321" s="659">
        <v>0.23076923076923078</v>
      </c>
      <c r="K321" s="378">
        <v>0.2177650429799427</v>
      </c>
      <c r="L321" s="672">
        <v>0.39143730886850153</v>
      </c>
    </row>
    <row r="322" spans="2:12" x14ac:dyDescent="0.3">
      <c r="B322" s="451" t="s">
        <v>270</v>
      </c>
      <c r="C322" s="649">
        <v>0.76719576719576721</v>
      </c>
      <c r="D322" s="378">
        <v>0.21164021164021163</v>
      </c>
      <c r="E322" s="392">
        <v>2.1164021164021163E-2</v>
      </c>
      <c r="F322" s="649">
        <v>0.72932330827067671</v>
      </c>
      <c r="G322" s="561">
        <v>0.27067669172932329</v>
      </c>
      <c r="H322" s="680">
        <v>0.69312169312169314</v>
      </c>
      <c r="I322" s="671">
        <v>0.35</v>
      </c>
      <c r="J322" s="659">
        <v>1</v>
      </c>
      <c r="K322" s="378">
        <v>0.36206896551724138</v>
      </c>
      <c r="L322" s="672">
        <v>0.3611111111111111</v>
      </c>
    </row>
    <row r="323" spans="2:12" x14ac:dyDescent="0.3">
      <c r="B323" s="451" t="s">
        <v>271</v>
      </c>
      <c r="C323" s="649">
        <v>0.75929978118161923</v>
      </c>
      <c r="D323" s="378">
        <v>0.23413566739606126</v>
      </c>
      <c r="E323" s="392">
        <v>6.5645514223195145E-3</v>
      </c>
      <c r="F323" s="649">
        <v>0.65858585858585861</v>
      </c>
      <c r="G323" s="561">
        <v>0.34141414141414139</v>
      </c>
      <c r="H323" s="680">
        <v>0.83807439824945296</v>
      </c>
      <c r="I323" s="671">
        <v>9.3457943925233641E-2</v>
      </c>
      <c r="J323" s="659">
        <v>0.66666666666666663</v>
      </c>
      <c r="K323" s="378">
        <v>0.41891891891891891</v>
      </c>
      <c r="L323" s="672">
        <v>0.35714285714285715</v>
      </c>
    </row>
    <row r="324" spans="2:12" x14ac:dyDescent="0.3">
      <c r="B324" s="451" t="s">
        <v>272</v>
      </c>
      <c r="C324" s="649">
        <v>0.58676470588235297</v>
      </c>
      <c r="D324" s="378">
        <v>0.39705882352941174</v>
      </c>
      <c r="E324" s="392">
        <v>1.6176470588235292E-2</v>
      </c>
      <c r="F324" s="649">
        <v>0.59942363112391928</v>
      </c>
      <c r="G324" s="561">
        <v>0.40057636887608072</v>
      </c>
      <c r="H324" s="680">
        <v>0.69558823529411762</v>
      </c>
      <c r="I324" s="671">
        <v>0.3888888888888889</v>
      </c>
      <c r="J324" s="659">
        <v>0.81818181818181823</v>
      </c>
      <c r="K324" s="378">
        <v>0.68599033816425126</v>
      </c>
      <c r="L324" s="672">
        <v>0.60431654676258995</v>
      </c>
    </row>
    <row r="325" spans="2:12" x14ac:dyDescent="0.3">
      <c r="B325" s="451" t="s">
        <v>273</v>
      </c>
      <c r="C325" s="649">
        <v>0.79982126899016981</v>
      </c>
      <c r="D325" s="378">
        <v>0.18856121537086684</v>
      </c>
      <c r="E325" s="392">
        <v>1.1617515638963349E-2</v>
      </c>
      <c r="F325" s="649">
        <v>0.72256365232660225</v>
      </c>
      <c r="G325" s="561">
        <v>0.27743634767339775</v>
      </c>
      <c r="H325" s="680">
        <v>0.78999106344950853</v>
      </c>
      <c r="I325" s="671">
        <v>0.32227488151658767</v>
      </c>
      <c r="J325" s="659">
        <v>0.84615384615384615</v>
      </c>
      <c r="K325" s="378">
        <v>0.48510638297872338</v>
      </c>
      <c r="L325" s="672">
        <v>0.47784810126582278</v>
      </c>
    </row>
    <row r="326" spans="2:12" x14ac:dyDescent="0.3">
      <c r="B326" s="451" t="s">
        <v>274</v>
      </c>
      <c r="C326" s="649">
        <v>0.70062370062370061</v>
      </c>
      <c r="D326" s="378">
        <v>0.288981288981289</v>
      </c>
      <c r="E326" s="392">
        <v>1.0395010395010396E-2</v>
      </c>
      <c r="F326" s="649">
        <v>0.62131519274376412</v>
      </c>
      <c r="G326" s="561">
        <v>0.37868480725623588</v>
      </c>
      <c r="H326" s="680">
        <v>0.82952182952182951</v>
      </c>
      <c r="I326" s="671">
        <v>7.9136690647482008E-2</v>
      </c>
      <c r="J326" s="659">
        <v>0.4</v>
      </c>
      <c r="K326" s="378">
        <v>0.23170731707317074</v>
      </c>
      <c r="L326" s="672">
        <v>0.48502994011976047</v>
      </c>
    </row>
    <row r="327" spans="2:12" x14ac:dyDescent="0.3">
      <c r="B327" s="451" t="s">
        <v>275</v>
      </c>
      <c r="C327" s="649">
        <v>0.6824489795918367</v>
      </c>
      <c r="D327" s="378">
        <v>0.29469387755102039</v>
      </c>
      <c r="E327" s="392">
        <v>2.2857142857142909E-2</v>
      </c>
      <c r="F327" s="649">
        <v>0.60858995137763372</v>
      </c>
      <c r="G327" s="561">
        <v>0.39141004862236628</v>
      </c>
      <c r="H327" s="680">
        <v>0.6702040816326531</v>
      </c>
      <c r="I327" s="671">
        <v>0.15789473684210525</v>
      </c>
      <c r="J327" s="659">
        <v>0.10714285714285714</v>
      </c>
      <c r="K327" s="378">
        <v>0.20297029702970298</v>
      </c>
      <c r="L327" s="672">
        <v>8.4886128364389232E-2</v>
      </c>
    </row>
    <row r="328" spans="2:12" x14ac:dyDescent="0.3">
      <c r="B328" s="451" t="s">
        <v>276</v>
      </c>
      <c r="C328" s="649">
        <v>0.61294416243654826</v>
      </c>
      <c r="D328" s="378">
        <v>0.3020304568527919</v>
      </c>
      <c r="E328" s="392">
        <v>8.5025380710659848E-2</v>
      </c>
      <c r="F328" s="649">
        <v>0.58021978021978027</v>
      </c>
      <c r="G328" s="561">
        <v>0.41978021978021973</v>
      </c>
      <c r="H328" s="680">
        <v>0.6649746192893401</v>
      </c>
      <c r="I328" s="671">
        <v>0.26470588235294118</v>
      </c>
      <c r="J328" s="659">
        <v>0.71641791044776115</v>
      </c>
      <c r="K328" s="378">
        <v>0.45075757575757575</v>
      </c>
      <c r="L328" s="672">
        <v>0.49738219895287961</v>
      </c>
    </row>
    <row r="329" spans="2:12" x14ac:dyDescent="0.3">
      <c r="B329" s="451" t="s">
        <v>277</v>
      </c>
      <c r="C329" s="649">
        <v>0.45390070921985815</v>
      </c>
      <c r="D329" s="378">
        <v>0.28368794326241137</v>
      </c>
      <c r="E329" s="392">
        <v>0.26241134751773049</v>
      </c>
      <c r="F329" s="649">
        <v>0.55769230769230771</v>
      </c>
      <c r="G329" s="561">
        <v>0.44230769230769229</v>
      </c>
      <c r="H329" s="680">
        <v>0.46808510638297873</v>
      </c>
      <c r="I329" s="671">
        <v>0.1</v>
      </c>
      <c r="J329" s="659">
        <v>0.64864864864864868</v>
      </c>
      <c r="K329" s="378">
        <v>0.37333333333333335</v>
      </c>
      <c r="L329" s="672">
        <v>0.56521739130434778</v>
      </c>
    </row>
    <row r="330" spans="2:12" x14ac:dyDescent="0.3">
      <c r="B330" s="451" t="s">
        <v>278</v>
      </c>
      <c r="C330" s="649">
        <v>0.9221789883268483</v>
      </c>
      <c r="D330" s="378">
        <v>7.7821011673151752E-2</v>
      </c>
      <c r="E330" s="392">
        <v>0</v>
      </c>
      <c r="F330" s="649">
        <v>0.48760330578512395</v>
      </c>
      <c r="G330" s="561">
        <v>0.5123966942148761</v>
      </c>
      <c r="H330" s="680">
        <v>0.83268482490272377</v>
      </c>
      <c r="I330" s="671">
        <v>0.55000000000000004</v>
      </c>
      <c r="J330" s="659">
        <v>0</v>
      </c>
      <c r="K330" s="378">
        <v>0.46511627906976744</v>
      </c>
      <c r="L330" s="672">
        <v>0.75</v>
      </c>
    </row>
    <row r="331" spans="2:12" x14ac:dyDescent="0.3">
      <c r="B331" s="451" t="s">
        <v>279</v>
      </c>
      <c r="C331" s="649">
        <v>0.65822784810126578</v>
      </c>
      <c r="D331" s="378">
        <v>0.34177215189873417</v>
      </c>
      <c r="E331" s="392">
        <v>0</v>
      </c>
      <c r="F331" s="649">
        <v>0.61445783132530118</v>
      </c>
      <c r="G331" s="561">
        <v>0.38554216867469882</v>
      </c>
      <c r="H331" s="680">
        <v>0.44303797468354428</v>
      </c>
      <c r="I331" s="671">
        <v>0.29629629629629628</v>
      </c>
      <c r="J331" s="659">
        <v>0</v>
      </c>
      <c r="K331" s="378">
        <v>0.22727272727272727</v>
      </c>
      <c r="L331" s="672">
        <v>0.3125</v>
      </c>
    </row>
    <row r="332" spans="2:12" x14ac:dyDescent="0.3">
      <c r="B332" s="451" t="s">
        <v>280</v>
      </c>
      <c r="C332" s="649">
        <v>0.62857142857142856</v>
      </c>
      <c r="D332" s="378">
        <v>0.34285714285714286</v>
      </c>
      <c r="E332" s="392">
        <v>2.8571428571428581E-2</v>
      </c>
      <c r="F332" s="649">
        <v>0.60655737704918034</v>
      </c>
      <c r="G332" s="561">
        <v>0.39344262295081966</v>
      </c>
      <c r="H332" s="680">
        <v>0.77142857142857146</v>
      </c>
      <c r="I332" s="671">
        <v>0.1111111111111111</v>
      </c>
      <c r="J332" s="659">
        <v>0.66666666666666663</v>
      </c>
      <c r="K332" s="378">
        <v>0.29166666666666669</v>
      </c>
      <c r="L332" s="672">
        <v>0.75</v>
      </c>
    </row>
    <row r="333" spans="2:12" x14ac:dyDescent="0.3">
      <c r="B333" s="451" t="s">
        <v>281</v>
      </c>
      <c r="C333" s="649">
        <v>0.88764044943820219</v>
      </c>
      <c r="D333" s="378">
        <v>8.364544319600499E-2</v>
      </c>
      <c r="E333" s="392">
        <v>2.8714107365792815E-2</v>
      </c>
      <c r="F333" s="649">
        <v>0.64646464646464652</v>
      </c>
      <c r="G333" s="561">
        <v>0.35353535353535348</v>
      </c>
      <c r="H333" s="680">
        <v>0.6966292134831461</v>
      </c>
      <c r="I333" s="671">
        <v>0.13432835820895522</v>
      </c>
      <c r="J333" s="659">
        <v>0.30434782608695654</v>
      </c>
      <c r="K333" s="378">
        <v>0.15226337448559671</v>
      </c>
      <c r="L333" s="672">
        <v>0.25878594249201275</v>
      </c>
    </row>
    <row r="334" spans="2:12" x14ac:dyDescent="0.3">
      <c r="B334" s="451" t="s">
        <v>282</v>
      </c>
      <c r="C334" s="649">
        <v>0.41065830721003133</v>
      </c>
      <c r="D334" s="378">
        <v>0.50783699059561127</v>
      </c>
      <c r="E334" s="392">
        <v>8.1504702194357348E-2</v>
      </c>
      <c r="F334" s="649">
        <v>0.532258064516129</v>
      </c>
      <c r="G334" s="561">
        <v>0.467741935483871</v>
      </c>
      <c r="H334" s="680">
        <v>0.72727272727272729</v>
      </c>
      <c r="I334" s="671">
        <v>0.35802469135802467</v>
      </c>
      <c r="J334" s="659">
        <v>0.65384615384615385</v>
      </c>
      <c r="K334" s="378">
        <v>0.97701149425287359</v>
      </c>
      <c r="L334" s="672">
        <v>0.57931034482758625</v>
      </c>
    </row>
    <row r="335" spans="2:12" x14ac:dyDescent="0.3">
      <c r="B335" s="451" t="s">
        <v>283</v>
      </c>
      <c r="C335" s="649">
        <v>0.88642063776424218</v>
      </c>
      <c r="D335" s="378">
        <v>9.1365102113937655E-2</v>
      </c>
      <c r="E335" s="392">
        <v>2.2214260121820165E-2</v>
      </c>
      <c r="F335" s="649">
        <v>0.57954840384116268</v>
      </c>
      <c r="G335" s="561">
        <v>0.42045159615883732</v>
      </c>
      <c r="H335" s="680">
        <v>0.80544607667502688</v>
      </c>
      <c r="I335" s="671">
        <v>0.21568627450980393</v>
      </c>
      <c r="J335" s="659">
        <v>0.56451612903225812</v>
      </c>
      <c r="K335" s="378">
        <v>0.51381215469613262</v>
      </c>
      <c r="L335" s="672">
        <v>0.30673316708229426</v>
      </c>
    </row>
    <row r="336" spans="2:12" x14ac:dyDescent="0.3">
      <c r="B336" s="451" t="s">
        <v>284</v>
      </c>
      <c r="C336" s="649">
        <v>0.80434782608695654</v>
      </c>
      <c r="D336" s="378">
        <v>0.19565217391304349</v>
      </c>
      <c r="E336" s="392">
        <v>0</v>
      </c>
      <c r="F336" s="649">
        <v>0.41666666666666669</v>
      </c>
      <c r="G336" s="561">
        <v>0.58333333333333326</v>
      </c>
      <c r="H336" s="680">
        <v>0.56521739130434778</v>
      </c>
      <c r="I336" s="671">
        <v>0.55555555555555558</v>
      </c>
      <c r="J336" s="659">
        <v>0</v>
      </c>
      <c r="K336" s="378">
        <v>0.25</v>
      </c>
      <c r="L336" s="672">
        <v>0.35714285714285715</v>
      </c>
    </row>
    <row r="337" spans="2:12" x14ac:dyDescent="0.3">
      <c r="B337" s="451" t="s">
        <v>285</v>
      </c>
      <c r="C337" s="649">
        <v>0.80645161290322576</v>
      </c>
      <c r="D337" s="378">
        <v>0.12903225806451613</v>
      </c>
      <c r="E337" s="392">
        <v>6.4516129032258118E-2</v>
      </c>
      <c r="F337" s="649">
        <v>0.45600000000000002</v>
      </c>
      <c r="G337" s="561">
        <v>0.54400000000000004</v>
      </c>
      <c r="H337" s="680">
        <v>0.64516129032258063</v>
      </c>
      <c r="I337" s="671">
        <v>0.16666666666666666</v>
      </c>
      <c r="J337" s="659">
        <v>0.33333333333333331</v>
      </c>
      <c r="K337" s="378">
        <v>0.21212121212121213</v>
      </c>
      <c r="L337" s="672">
        <v>0.52941176470588236</v>
      </c>
    </row>
    <row r="338" spans="2:12" x14ac:dyDescent="0.3">
      <c r="B338" s="451" t="s">
        <v>286</v>
      </c>
      <c r="C338" s="649">
        <v>0.65777777777777779</v>
      </c>
      <c r="D338" s="378">
        <v>0.32740740740740742</v>
      </c>
      <c r="E338" s="392">
        <v>1.4814814814814781E-2</v>
      </c>
      <c r="F338" s="649">
        <v>0.67146596858638741</v>
      </c>
      <c r="G338" s="561">
        <v>0.32853403141361259</v>
      </c>
      <c r="H338" s="680">
        <v>0.83333333333333337</v>
      </c>
      <c r="I338" s="671">
        <v>0.25339366515837103</v>
      </c>
      <c r="J338" s="659">
        <v>0.55000000000000004</v>
      </c>
      <c r="K338" s="378">
        <v>0.63555555555555554</v>
      </c>
      <c r="L338" s="672">
        <v>0.50901803607214424</v>
      </c>
    </row>
    <row r="339" spans="2:12" x14ac:dyDescent="0.3">
      <c r="B339" s="451" t="s">
        <v>287</v>
      </c>
      <c r="C339" s="649">
        <v>0.65306122448979587</v>
      </c>
      <c r="D339" s="378">
        <v>0.25218658892128282</v>
      </c>
      <c r="E339" s="392">
        <v>9.4752186588921317E-2</v>
      </c>
      <c r="F339" s="649">
        <v>0.55481283422459893</v>
      </c>
      <c r="G339" s="561">
        <v>0.44518716577540107</v>
      </c>
      <c r="H339" s="680">
        <v>0.67638483965014573</v>
      </c>
      <c r="I339" s="671">
        <v>0.15606936416184972</v>
      </c>
      <c r="J339" s="659">
        <v>0.61904761904761907</v>
      </c>
      <c r="K339" s="378">
        <v>0.34234234234234234</v>
      </c>
      <c r="L339" s="672">
        <v>0.47272727272727272</v>
      </c>
    </row>
    <row r="340" spans="2:12" x14ac:dyDescent="0.3">
      <c r="B340" s="451" t="s">
        <v>288</v>
      </c>
      <c r="C340" s="649">
        <v>0.6351118760757315</v>
      </c>
      <c r="D340" s="378">
        <v>0.31325301204819278</v>
      </c>
      <c r="E340" s="392">
        <v>5.1635111876075723E-2</v>
      </c>
      <c r="F340" s="649">
        <v>0.58447488584474883</v>
      </c>
      <c r="G340" s="561">
        <v>0.41552511415525117</v>
      </c>
      <c r="H340" s="680">
        <v>0.57487091222030984</v>
      </c>
      <c r="I340" s="671">
        <v>0.27472527472527475</v>
      </c>
      <c r="J340" s="659">
        <v>0.83333333333333337</v>
      </c>
      <c r="K340" s="378">
        <v>0.34008097165991902</v>
      </c>
      <c r="L340" s="672">
        <v>0.48351648351648352</v>
      </c>
    </row>
    <row r="341" spans="2:12" x14ac:dyDescent="0.3">
      <c r="B341" s="451" t="s">
        <v>289</v>
      </c>
      <c r="C341" s="649">
        <v>0.65116279069767447</v>
      </c>
      <c r="D341" s="378">
        <v>0.34883720930232559</v>
      </c>
      <c r="E341" s="392">
        <v>0</v>
      </c>
      <c r="F341" s="649">
        <v>0.8214285714285714</v>
      </c>
      <c r="G341" s="561">
        <v>0.1785714285714286</v>
      </c>
      <c r="H341" s="680">
        <v>0.79069767441860461</v>
      </c>
      <c r="I341" s="671">
        <v>0.2</v>
      </c>
      <c r="J341" s="659">
        <v>0</v>
      </c>
      <c r="K341" s="378">
        <v>0.33333333333333331</v>
      </c>
      <c r="L341" s="672">
        <v>0.6</v>
      </c>
    </row>
    <row r="342" spans="2:12" x14ac:dyDescent="0.3">
      <c r="B342" s="451" t="s">
        <v>290</v>
      </c>
      <c r="C342" s="649">
        <v>0.69784172661870503</v>
      </c>
      <c r="D342" s="378">
        <v>0.25899280575539568</v>
      </c>
      <c r="E342" s="392">
        <v>4.316546762589929E-2</v>
      </c>
      <c r="F342" s="649">
        <v>0.75539568345323738</v>
      </c>
      <c r="G342" s="561">
        <v>0.24460431654676262</v>
      </c>
      <c r="H342" s="680">
        <v>0.68345323741007191</v>
      </c>
      <c r="I342" s="671">
        <v>0.5</v>
      </c>
      <c r="J342" s="659">
        <v>0</v>
      </c>
      <c r="K342" s="378">
        <v>0.43181818181818182</v>
      </c>
      <c r="L342" s="672">
        <v>0.41176470588235292</v>
      </c>
    </row>
    <row r="343" spans="2:12" x14ac:dyDescent="0.3">
      <c r="B343" s="451" t="s">
        <v>291</v>
      </c>
      <c r="C343" s="649">
        <v>0.64440993788819878</v>
      </c>
      <c r="D343" s="378">
        <v>0.35248447204968947</v>
      </c>
      <c r="E343" s="392">
        <v>3.1055900621117516E-3</v>
      </c>
      <c r="F343" s="649">
        <v>0.57097791798107256</v>
      </c>
      <c r="G343" s="561">
        <v>0.42902208201892744</v>
      </c>
      <c r="H343" s="680">
        <v>0.7142857142857143</v>
      </c>
      <c r="I343" s="671">
        <v>0.33920704845814981</v>
      </c>
      <c r="J343" s="659">
        <v>0</v>
      </c>
      <c r="K343" s="378">
        <v>0.51630434782608692</v>
      </c>
      <c r="L343" s="672">
        <v>0.34191176470588236</v>
      </c>
    </row>
    <row r="344" spans="2:12" x14ac:dyDescent="0.3">
      <c r="B344" s="451" t="s">
        <v>292</v>
      </c>
      <c r="C344" s="649">
        <v>0.97297297297297303</v>
      </c>
      <c r="D344" s="378">
        <v>2.7027027027027029E-2</v>
      </c>
      <c r="E344" s="392">
        <v>-5.5511151231257827E-17</v>
      </c>
      <c r="F344" s="649">
        <v>0.53636363636363638</v>
      </c>
      <c r="G344" s="561">
        <v>0.46363636363636362</v>
      </c>
      <c r="H344" s="680">
        <v>0.63963963963963966</v>
      </c>
      <c r="I344" s="671">
        <v>0.33333333333333331</v>
      </c>
      <c r="J344" s="659">
        <v>0</v>
      </c>
      <c r="K344" s="378">
        <v>2.5000000000000001E-2</v>
      </c>
      <c r="L344" s="672">
        <v>0.58823529411764708</v>
      </c>
    </row>
    <row r="345" spans="2:12" x14ac:dyDescent="0.3">
      <c r="B345" s="451" t="s">
        <v>293</v>
      </c>
      <c r="C345" s="649">
        <v>0.7193370165745856</v>
      </c>
      <c r="D345" s="378">
        <v>0.26077348066298345</v>
      </c>
      <c r="E345" s="392">
        <v>1.9889502762430955E-2</v>
      </c>
      <c r="F345" s="649">
        <v>0.76719576719576721</v>
      </c>
      <c r="G345" s="561">
        <v>0.23280423280423279</v>
      </c>
      <c r="H345" s="680">
        <v>0.74696132596685083</v>
      </c>
      <c r="I345" s="671">
        <v>0.40677966101694918</v>
      </c>
      <c r="J345" s="659">
        <v>0.94444444444444442</v>
      </c>
      <c r="K345" s="378">
        <v>0.5240174672489083</v>
      </c>
      <c r="L345" s="672">
        <v>0.53636363636363638</v>
      </c>
    </row>
    <row r="346" spans="2:12" x14ac:dyDescent="0.3">
      <c r="B346" s="451" t="s">
        <v>294</v>
      </c>
      <c r="C346" s="649">
        <v>0.73562585969738647</v>
      </c>
      <c r="D346" s="378">
        <v>0.21127922971114169</v>
      </c>
      <c r="E346" s="392">
        <v>5.3094910591471839E-2</v>
      </c>
      <c r="F346" s="649">
        <v>0.6374133949191686</v>
      </c>
      <c r="G346" s="561">
        <v>0.3625866050808314</v>
      </c>
      <c r="H346" s="680">
        <v>0.70839064649243466</v>
      </c>
      <c r="I346" s="671">
        <v>0.21875</v>
      </c>
      <c r="J346" s="659">
        <v>0.31550802139037432</v>
      </c>
      <c r="K346" s="378">
        <v>0.25188679245283019</v>
      </c>
      <c r="L346" s="672">
        <v>0.48523543495610533</v>
      </c>
    </row>
    <row r="347" spans="2:12" x14ac:dyDescent="0.3">
      <c r="B347" s="451" t="s">
        <v>295</v>
      </c>
      <c r="C347" s="649">
        <v>0.69117647058823528</v>
      </c>
      <c r="D347" s="378">
        <v>0.27450980392156865</v>
      </c>
      <c r="E347" s="392">
        <v>3.4313725490196068E-2</v>
      </c>
      <c r="F347" s="649">
        <v>0.63084112149532712</v>
      </c>
      <c r="G347" s="561">
        <v>0.36915887850467288</v>
      </c>
      <c r="H347" s="680">
        <v>0.63725490196078427</v>
      </c>
      <c r="I347" s="671">
        <v>0.26785714285714285</v>
      </c>
      <c r="J347" s="659">
        <v>0.7142857142857143</v>
      </c>
      <c r="K347" s="378">
        <v>0.27027027027027029</v>
      </c>
      <c r="L347" s="672">
        <v>0.37179487179487181</v>
      </c>
    </row>
    <row r="348" spans="2:12" x14ac:dyDescent="0.3">
      <c r="B348" s="451" t="s">
        <v>296</v>
      </c>
      <c r="C348" s="649">
        <v>0.87769784172661869</v>
      </c>
      <c r="D348" s="378">
        <v>8.6330935251798566E-2</v>
      </c>
      <c r="E348" s="392">
        <v>3.5971223021582746E-2</v>
      </c>
      <c r="F348" s="649">
        <v>0.43434343434343436</v>
      </c>
      <c r="G348" s="561">
        <v>0.56565656565656564</v>
      </c>
      <c r="H348" s="680">
        <v>0.63309352517985606</v>
      </c>
      <c r="I348" s="671">
        <v>0.25</v>
      </c>
      <c r="J348" s="659">
        <v>0.2</v>
      </c>
      <c r="K348" s="378">
        <v>9.8039215686274508E-2</v>
      </c>
      <c r="L348" s="672">
        <v>0.25</v>
      </c>
    </row>
    <row r="349" spans="2:12" x14ac:dyDescent="0.3">
      <c r="B349" s="451" t="s">
        <v>297</v>
      </c>
      <c r="C349" s="649">
        <v>0.78179190751445082</v>
      </c>
      <c r="D349" s="378">
        <v>0.18786127167630057</v>
      </c>
      <c r="E349" s="392">
        <v>3.0346820809248609E-2</v>
      </c>
      <c r="F349" s="649">
        <v>0.61426491994177579</v>
      </c>
      <c r="G349" s="561">
        <v>0.38573508005822421</v>
      </c>
      <c r="H349" s="680">
        <v>0.73121387283236994</v>
      </c>
      <c r="I349" s="671">
        <v>0.23076923076923078</v>
      </c>
      <c r="J349" s="659">
        <v>0.47619047619047616</v>
      </c>
      <c r="K349" s="378">
        <v>0.29569892473118281</v>
      </c>
      <c r="L349" s="672">
        <v>0.49433962264150944</v>
      </c>
    </row>
    <row r="350" spans="2:12" x14ac:dyDescent="0.3">
      <c r="B350" s="451" t="s">
        <v>298</v>
      </c>
      <c r="C350" s="649">
        <v>0.55687606112054333</v>
      </c>
      <c r="D350" s="378">
        <v>0.39388794567062818</v>
      </c>
      <c r="E350" s="392">
        <v>4.9235993208828488E-2</v>
      </c>
      <c r="F350" s="649">
        <v>0.6428571428571429</v>
      </c>
      <c r="G350" s="561">
        <v>0.3571428571428571</v>
      </c>
      <c r="H350" s="680">
        <v>0.62478777589134127</v>
      </c>
      <c r="I350" s="671">
        <v>8.1896551724137928E-2</v>
      </c>
      <c r="J350" s="659">
        <v>0.20689655172413793</v>
      </c>
      <c r="K350" s="378">
        <v>0.13122171945701358</v>
      </c>
      <c r="L350" s="672">
        <v>0.46</v>
      </c>
    </row>
    <row r="351" spans="2:12" x14ac:dyDescent="0.3">
      <c r="B351" s="451" t="s">
        <v>299</v>
      </c>
      <c r="C351" s="649">
        <v>0.84065040650406508</v>
      </c>
      <c r="D351" s="378">
        <v>0.13821138211382114</v>
      </c>
      <c r="E351" s="392">
        <v>2.1138211382113775E-2</v>
      </c>
      <c r="F351" s="649">
        <v>0.61698717948717952</v>
      </c>
      <c r="G351" s="561">
        <v>0.38301282051282048</v>
      </c>
      <c r="H351" s="680">
        <v>0.9089430894308943</v>
      </c>
      <c r="I351" s="671">
        <v>0.58823529411764708</v>
      </c>
      <c r="J351" s="659">
        <v>0.46153846153846156</v>
      </c>
      <c r="K351" s="378">
        <v>1</v>
      </c>
      <c r="L351" s="672">
        <v>0.83682008368200833</v>
      </c>
    </row>
    <row r="352" spans="2:12" x14ac:dyDescent="0.3">
      <c r="B352" s="451" t="s">
        <v>300</v>
      </c>
      <c r="C352" s="649">
        <v>0.83065953654188951</v>
      </c>
      <c r="D352" s="378">
        <v>0.16399286987522282</v>
      </c>
      <c r="E352" s="392">
        <v>5.3475935828876664E-3</v>
      </c>
      <c r="F352" s="649">
        <v>0.6454388984509466</v>
      </c>
      <c r="G352" s="561">
        <v>0.3545611015490534</v>
      </c>
      <c r="H352" s="680">
        <v>0.86809269162210334</v>
      </c>
      <c r="I352" s="671">
        <v>0.13043478260869565</v>
      </c>
      <c r="J352" s="659">
        <v>0</v>
      </c>
      <c r="K352" s="378">
        <v>0.24324324324324326</v>
      </c>
      <c r="L352" s="672">
        <v>0.53431372549019607</v>
      </c>
    </row>
    <row r="353" spans="1:12" ht="15" thickBot="1" x14ac:dyDescent="0.35">
      <c r="B353" s="452" t="s">
        <v>301</v>
      </c>
      <c r="C353" s="650">
        <v>0.73684210526315785</v>
      </c>
      <c r="D353" s="562">
        <v>0.22368421052631579</v>
      </c>
      <c r="E353" s="652">
        <v>3.9473684210526355E-2</v>
      </c>
      <c r="F353" s="650">
        <v>0.52747252747252749</v>
      </c>
      <c r="G353" s="563">
        <v>0.47252747252747251</v>
      </c>
      <c r="H353" s="681">
        <v>0.47368421052631576</v>
      </c>
      <c r="I353" s="673">
        <v>0.23529411764705882</v>
      </c>
      <c r="J353" s="674">
        <v>0</v>
      </c>
      <c r="K353" s="562">
        <v>0.17499999999999999</v>
      </c>
      <c r="L353" s="675">
        <v>0.58139534883720934</v>
      </c>
    </row>
    <row r="354" spans="1:12" x14ac:dyDescent="0.3">
      <c r="B354" s="660" t="s">
        <v>946</v>
      </c>
      <c r="C354" s="661">
        <v>0.72628213011929654</v>
      </c>
      <c r="D354" s="661">
        <v>0.23728938629934818</v>
      </c>
      <c r="E354" s="661">
        <v>3.6428483581355281E-2</v>
      </c>
      <c r="F354" s="661">
        <v>0.64505127593608391</v>
      </c>
      <c r="G354" s="661">
        <v>0.35494872406391609</v>
      </c>
      <c r="H354" s="661">
        <v>0.72136268601648013</v>
      </c>
      <c r="I354" s="661">
        <v>0.23945267958950969</v>
      </c>
      <c r="J354" s="661">
        <v>0.49320652173913043</v>
      </c>
      <c r="K354" s="661">
        <v>0.3468416879570082</v>
      </c>
      <c r="L354" s="661">
        <v>0.4095918367346939</v>
      </c>
    </row>
    <row r="355" spans="1:12" x14ac:dyDescent="0.3">
      <c r="I355" s="676">
        <f>(D354*I354+E354*J354)/(D354+E354)</f>
        <v>0.27322419650392271</v>
      </c>
      <c r="J355" s="280" t="s">
        <v>952</v>
      </c>
      <c r="L355" s="655"/>
    </row>
    <row r="356" spans="1:12" x14ac:dyDescent="0.3">
      <c r="I356" s="676">
        <f>(D354*I354)/(D354*I354+E354*J354)</f>
        <v>0.7597587412071789</v>
      </c>
      <c r="J356" s="280" t="s">
        <v>953</v>
      </c>
      <c r="L356" s="655"/>
    </row>
    <row r="359" spans="1:12" ht="15.6" x14ac:dyDescent="0.3">
      <c r="A359" s="640" t="s">
        <v>990</v>
      </c>
    </row>
    <row r="360" spans="1:12" x14ac:dyDescent="0.3">
      <c r="A360" s="653" t="s">
        <v>989</v>
      </c>
    </row>
    <row r="361" spans="1:12" ht="15" thickBot="1" x14ac:dyDescent="0.35"/>
    <row r="362" spans="1:12" ht="15" thickBot="1" x14ac:dyDescent="0.35">
      <c r="C362" s="686">
        <v>2014</v>
      </c>
      <c r="D362" s="696" t="s">
        <v>996</v>
      </c>
    </row>
    <row r="363" spans="1:12" x14ac:dyDescent="0.3">
      <c r="B363" s="693" t="s">
        <v>954</v>
      </c>
      <c r="C363" s="694">
        <v>7.25</v>
      </c>
      <c r="D363" s="695"/>
    </row>
    <row r="364" spans="1:12" x14ac:dyDescent="0.3">
      <c r="B364" s="687" t="s">
        <v>252</v>
      </c>
      <c r="C364" s="691"/>
      <c r="D364" s="689" t="s">
        <v>993</v>
      </c>
    </row>
    <row r="365" spans="1:12" x14ac:dyDescent="0.3">
      <c r="B365" s="687" t="s">
        <v>253</v>
      </c>
      <c r="C365" s="691">
        <v>7.75</v>
      </c>
      <c r="D365" s="689"/>
    </row>
    <row r="366" spans="1:12" x14ac:dyDescent="0.3">
      <c r="B366" s="687" t="s">
        <v>254</v>
      </c>
      <c r="C366" s="691">
        <v>7.9</v>
      </c>
      <c r="D366" s="689"/>
    </row>
    <row r="367" spans="1:12" x14ac:dyDescent="0.3">
      <c r="B367" s="687" t="s">
        <v>255</v>
      </c>
      <c r="C367" s="691">
        <v>6.25</v>
      </c>
      <c r="D367" s="689" t="s">
        <v>991</v>
      </c>
    </row>
    <row r="368" spans="1:12" x14ac:dyDescent="0.3">
      <c r="B368" s="687" t="s">
        <v>256</v>
      </c>
      <c r="C368" s="691">
        <v>9</v>
      </c>
      <c r="D368" s="689"/>
    </row>
    <row r="369" spans="2:4" x14ac:dyDescent="0.3">
      <c r="B369" s="687" t="s">
        <v>257</v>
      </c>
      <c r="C369" s="691">
        <v>8</v>
      </c>
      <c r="D369" s="689"/>
    </row>
    <row r="370" spans="2:4" x14ac:dyDescent="0.3">
      <c r="B370" s="687" t="s">
        <v>258</v>
      </c>
      <c r="C370" s="691">
        <v>8.6999999999999993</v>
      </c>
      <c r="D370" s="689"/>
    </row>
    <row r="371" spans="2:4" x14ac:dyDescent="0.3">
      <c r="B371" s="687" t="s">
        <v>259</v>
      </c>
      <c r="C371" s="691">
        <v>7.75</v>
      </c>
      <c r="D371" s="689"/>
    </row>
    <row r="372" spans="2:4" x14ac:dyDescent="0.3">
      <c r="B372" s="687" t="s">
        <v>260</v>
      </c>
      <c r="C372" s="691">
        <v>7.93</v>
      </c>
      <c r="D372" s="689"/>
    </row>
    <row r="373" spans="2:4" x14ac:dyDescent="0.3">
      <c r="B373" s="687" t="s">
        <v>261</v>
      </c>
      <c r="C373" s="691">
        <v>5.15</v>
      </c>
      <c r="D373" s="689" t="s">
        <v>992</v>
      </c>
    </row>
    <row r="374" spans="2:4" x14ac:dyDescent="0.3">
      <c r="B374" s="687" t="s">
        <v>262</v>
      </c>
      <c r="C374" s="691">
        <v>7.25</v>
      </c>
      <c r="D374" s="689"/>
    </row>
    <row r="375" spans="2:4" x14ac:dyDescent="0.3">
      <c r="B375" s="687" t="s">
        <v>263</v>
      </c>
      <c r="C375" s="691">
        <v>7.25</v>
      </c>
      <c r="D375" s="689"/>
    </row>
    <row r="376" spans="2:4" x14ac:dyDescent="0.3">
      <c r="B376" s="687" t="s">
        <v>264</v>
      </c>
      <c r="C376" s="691">
        <v>8.25</v>
      </c>
      <c r="D376" s="689" t="s">
        <v>991</v>
      </c>
    </row>
    <row r="377" spans="2:4" x14ac:dyDescent="0.3">
      <c r="B377" s="687" t="s">
        <v>265</v>
      </c>
      <c r="C377" s="691">
        <v>7.25</v>
      </c>
      <c r="D377" s="689" t="s">
        <v>994</v>
      </c>
    </row>
    <row r="378" spans="2:4" x14ac:dyDescent="0.3">
      <c r="B378" s="687" t="s">
        <v>266</v>
      </c>
      <c r="C378" s="691">
        <v>7.25</v>
      </c>
      <c r="D378" s="689"/>
    </row>
    <row r="379" spans="2:4" x14ac:dyDescent="0.3">
      <c r="B379" s="687" t="s">
        <v>267</v>
      </c>
      <c r="C379" s="691">
        <v>7.25</v>
      </c>
      <c r="D379" s="689"/>
    </row>
    <row r="380" spans="2:4" x14ac:dyDescent="0.3">
      <c r="B380" s="687" t="s">
        <v>268</v>
      </c>
      <c r="C380" s="691">
        <v>7.25</v>
      </c>
      <c r="D380" s="689"/>
    </row>
    <row r="381" spans="2:4" x14ac:dyDescent="0.3">
      <c r="B381" s="687" t="s">
        <v>269</v>
      </c>
      <c r="C381" s="691"/>
      <c r="D381" s="689" t="s">
        <v>955</v>
      </c>
    </row>
    <row r="382" spans="2:4" x14ac:dyDescent="0.3">
      <c r="B382" s="687" t="s">
        <v>270</v>
      </c>
      <c r="C382" s="691">
        <v>7.5</v>
      </c>
      <c r="D382" s="689"/>
    </row>
    <row r="383" spans="2:4" x14ac:dyDescent="0.3">
      <c r="B383" s="687" t="s">
        <v>271</v>
      </c>
      <c r="C383" s="691">
        <v>7.25</v>
      </c>
      <c r="D383" s="689"/>
    </row>
    <row r="384" spans="2:4" x14ac:dyDescent="0.3">
      <c r="B384" s="687" t="s">
        <v>272</v>
      </c>
      <c r="C384" s="691">
        <v>8</v>
      </c>
      <c r="D384" s="689"/>
    </row>
    <row r="385" spans="2:4" x14ac:dyDescent="0.3">
      <c r="B385" s="687" t="s">
        <v>273</v>
      </c>
      <c r="C385" s="691">
        <v>8.15</v>
      </c>
      <c r="D385" s="689" t="s">
        <v>994</v>
      </c>
    </row>
    <row r="386" spans="2:4" x14ac:dyDescent="0.3">
      <c r="B386" s="687" t="s">
        <v>274</v>
      </c>
      <c r="C386" s="691">
        <v>8</v>
      </c>
      <c r="D386" s="689" t="s">
        <v>956</v>
      </c>
    </row>
    <row r="387" spans="2:4" x14ac:dyDescent="0.3">
      <c r="B387" s="687" t="s">
        <v>275</v>
      </c>
      <c r="C387" s="691"/>
      <c r="D387" s="689" t="s">
        <v>955</v>
      </c>
    </row>
    <row r="388" spans="2:4" x14ac:dyDescent="0.3">
      <c r="B388" s="687" t="s">
        <v>276</v>
      </c>
      <c r="C388" s="691">
        <v>7.5</v>
      </c>
      <c r="D388" s="689">
        <v>7.5</v>
      </c>
    </row>
    <row r="389" spans="2:4" x14ac:dyDescent="0.3">
      <c r="B389" s="687" t="s">
        <v>277</v>
      </c>
      <c r="C389" s="691">
        <v>7.9</v>
      </c>
      <c r="D389" s="689" t="s">
        <v>995</v>
      </c>
    </row>
    <row r="390" spans="2:4" x14ac:dyDescent="0.3">
      <c r="B390" s="687" t="s">
        <v>278</v>
      </c>
      <c r="C390" s="691">
        <v>7.25</v>
      </c>
      <c r="D390" s="689" t="s">
        <v>991</v>
      </c>
    </row>
    <row r="391" spans="2:4" x14ac:dyDescent="0.3">
      <c r="B391" s="687" t="s">
        <v>279</v>
      </c>
      <c r="C391" s="691">
        <v>8.25</v>
      </c>
      <c r="D391" s="689" t="s">
        <v>957</v>
      </c>
    </row>
    <row r="392" spans="2:4" x14ac:dyDescent="0.3">
      <c r="B392" s="687" t="s">
        <v>280</v>
      </c>
      <c r="C392" s="691">
        <v>7.25</v>
      </c>
      <c r="D392" s="689"/>
    </row>
    <row r="393" spans="2:4" x14ac:dyDescent="0.3">
      <c r="B393" s="687" t="s">
        <v>281</v>
      </c>
      <c r="C393" s="691">
        <v>8.25</v>
      </c>
      <c r="D393" s="689"/>
    </row>
    <row r="394" spans="2:4" x14ac:dyDescent="0.3">
      <c r="B394" s="687" t="s">
        <v>282</v>
      </c>
      <c r="C394" s="691">
        <v>7.5</v>
      </c>
      <c r="D394" s="689"/>
    </row>
    <row r="395" spans="2:4" x14ac:dyDescent="0.3">
      <c r="B395" s="687" t="s">
        <v>283</v>
      </c>
      <c r="C395" s="691">
        <v>8</v>
      </c>
      <c r="D395" s="689"/>
    </row>
    <row r="396" spans="2:4" x14ac:dyDescent="0.3">
      <c r="B396" s="687" t="s">
        <v>284</v>
      </c>
      <c r="C396" s="691">
        <v>7.25</v>
      </c>
      <c r="D396" s="689"/>
    </row>
    <row r="397" spans="2:4" x14ac:dyDescent="0.3">
      <c r="B397" s="687" t="s">
        <v>285</v>
      </c>
      <c r="C397" s="691">
        <v>7.25</v>
      </c>
      <c r="D397" s="689"/>
    </row>
    <row r="398" spans="2:4" x14ac:dyDescent="0.3">
      <c r="B398" s="687" t="s">
        <v>286</v>
      </c>
      <c r="C398" s="691">
        <v>7.95</v>
      </c>
      <c r="D398" s="689" t="s">
        <v>958</v>
      </c>
    </row>
    <row r="399" spans="2:4" x14ac:dyDescent="0.3">
      <c r="B399" s="687" t="s">
        <v>287</v>
      </c>
      <c r="C399" s="691">
        <v>7.25</v>
      </c>
      <c r="D399" s="689" t="s">
        <v>959</v>
      </c>
    </row>
    <row r="400" spans="2:4" x14ac:dyDescent="0.3">
      <c r="B400" s="687" t="s">
        <v>288</v>
      </c>
      <c r="C400" s="691">
        <v>9.1</v>
      </c>
      <c r="D400" s="689"/>
    </row>
    <row r="401" spans="2:4" x14ac:dyDescent="0.3">
      <c r="B401" s="687" t="s">
        <v>289</v>
      </c>
      <c r="C401" s="691">
        <v>7.25</v>
      </c>
      <c r="D401" s="689"/>
    </row>
    <row r="402" spans="2:4" x14ac:dyDescent="0.3">
      <c r="B402" s="687" t="s">
        <v>290</v>
      </c>
      <c r="C402" s="691">
        <v>8</v>
      </c>
      <c r="D402" s="689"/>
    </row>
    <row r="403" spans="2:4" x14ac:dyDescent="0.3">
      <c r="B403" s="687" t="s">
        <v>291</v>
      </c>
      <c r="C403" s="691"/>
      <c r="D403" s="689" t="s">
        <v>955</v>
      </c>
    </row>
    <row r="404" spans="2:4" x14ac:dyDescent="0.3">
      <c r="B404" s="687" t="s">
        <v>292</v>
      </c>
      <c r="C404" s="691">
        <v>7.25</v>
      </c>
      <c r="D404" s="689"/>
    </row>
    <row r="405" spans="2:4" x14ac:dyDescent="0.3">
      <c r="B405" s="687" t="s">
        <v>293</v>
      </c>
      <c r="C405" s="691"/>
      <c r="D405" s="689" t="s">
        <v>955</v>
      </c>
    </row>
    <row r="406" spans="2:4" x14ac:dyDescent="0.3">
      <c r="B406" s="687" t="s">
        <v>294</v>
      </c>
      <c r="C406" s="691">
        <v>7.25</v>
      </c>
      <c r="D406" s="689"/>
    </row>
    <row r="407" spans="2:4" x14ac:dyDescent="0.3">
      <c r="B407" s="687" t="s">
        <v>295</v>
      </c>
      <c r="C407" s="691">
        <v>7.25</v>
      </c>
      <c r="D407" s="689"/>
    </row>
    <row r="408" spans="2:4" x14ac:dyDescent="0.3">
      <c r="B408" s="687" t="s">
        <v>296</v>
      </c>
      <c r="C408" s="691">
        <v>8.73</v>
      </c>
      <c r="D408" s="689" t="s">
        <v>994</v>
      </c>
    </row>
    <row r="409" spans="2:4" x14ac:dyDescent="0.3">
      <c r="B409" s="687" t="s">
        <v>297</v>
      </c>
      <c r="C409" s="691">
        <v>7.25</v>
      </c>
      <c r="D409" s="689" t="s">
        <v>991</v>
      </c>
    </row>
    <row r="410" spans="2:4" x14ac:dyDescent="0.3">
      <c r="B410" s="687" t="s">
        <v>298</v>
      </c>
      <c r="C410" s="691">
        <v>9.32</v>
      </c>
      <c r="D410" s="689"/>
    </row>
    <row r="411" spans="2:4" x14ac:dyDescent="0.3">
      <c r="B411" s="687" t="s">
        <v>299</v>
      </c>
      <c r="C411" s="691">
        <v>7.25</v>
      </c>
      <c r="D411" s="689"/>
    </row>
    <row r="412" spans="2:4" x14ac:dyDescent="0.3">
      <c r="B412" s="687" t="s">
        <v>300</v>
      </c>
      <c r="C412" s="691">
        <v>7.25</v>
      </c>
      <c r="D412" s="689"/>
    </row>
    <row r="413" spans="2:4" x14ac:dyDescent="0.3">
      <c r="B413" s="687" t="s">
        <v>301</v>
      </c>
      <c r="C413" s="691">
        <v>5.15</v>
      </c>
      <c r="D413" s="689"/>
    </row>
    <row r="414" spans="2:4" x14ac:dyDescent="0.3">
      <c r="B414" s="687" t="s">
        <v>1081</v>
      </c>
      <c r="C414" s="691">
        <v>9.5</v>
      </c>
      <c r="D414" s="689"/>
    </row>
    <row r="415" spans="2:4" x14ac:dyDescent="0.3">
      <c r="B415" s="687" t="s">
        <v>960</v>
      </c>
      <c r="C415" s="691">
        <v>7.25</v>
      </c>
      <c r="D415" s="689"/>
    </row>
    <row r="416" spans="2:4" x14ac:dyDescent="0.3">
      <c r="B416" s="687" t="s">
        <v>961</v>
      </c>
      <c r="C416" s="691">
        <v>7.25</v>
      </c>
      <c r="D416" s="689" t="s">
        <v>962</v>
      </c>
    </row>
    <row r="417" spans="2:4" ht="15" thickBot="1" x14ac:dyDescent="0.35">
      <c r="B417" s="688" t="s">
        <v>963</v>
      </c>
      <c r="C417" s="692">
        <v>7.25</v>
      </c>
      <c r="D417" s="690" t="s">
        <v>964</v>
      </c>
    </row>
    <row r="419" spans="2:4" x14ac:dyDescent="0.3">
      <c r="B419" t="s">
        <v>965</v>
      </c>
    </row>
    <row r="420" spans="2:4" x14ac:dyDescent="0.3">
      <c r="B420" t="s">
        <v>966</v>
      </c>
    </row>
    <row r="421" spans="2:4" x14ac:dyDescent="0.3">
      <c r="B421" t="s">
        <v>967</v>
      </c>
    </row>
    <row r="423" spans="2:4" x14ac:dyDescent="0.3">
      <c r="B423" t="s">
        <v>968</v>
      </c>
    </row>
    <row r="424" spans="2:4" x14ac:dyDescent="0.3">
      <c r="B424" t="s">
        <v>969</v>
      </c>
    </row>
    <row r="425" spans="2:4" x14ac:dyDescent="0.3">
      <c r="B425" t="s">
        <v>970</v>
      </c>
    </row>
    <row r="426" spans="2:4" x14ac:dyDescent="0.3">
      <c r="B426" t="s">
        <v>971</v>
      </c>
    </row>
    <row r="427" spans="2:4" x14ac:dyDescent="0.3">
      <c r="B427" t="s">
        <v>972</v>
      </c>
    </row>
    <row r="428" spans="2:4" x14ac:dyDescent="0.3">
      <c r="B428" t="s">
        <v>973</v>
      </c>
    </row>
    <row r="429" spans="2:4" x14ac:dyDescent="0.3">
      <c r="B429" t="s">
        <v>974</v>
      </c>
    </row>
    <row r="430" spans="2:4" x14ac:dyDescent="0.3">
      <c r="B430" t="s">
        <v>975</v>
      </c>
    </row>
    <row r="431" spans="2:4" x14ac:dyDescent="0.3">
      <c r="B431" t="s">
        <v>976</v>
      </c>
    </row>
    <row r="432" spans="2:4" x14ac:dyDescent="0.3">
      <c r="B432" t="s">
        <v>977</v>
      </c>
    </row>
    <row r="433" spans="2:2" x14ac:dyDescent="0.3">
      <c r="B433" t="s">
        <v>978</v>
      </c>
    </row>
    <row r="434" spans="2:2" x14ac:dyDescent="0.3">
      <c r="B434" t="s">
        <v>979</v>
      </c>
    </row>
    <row r="435" spans="2:2" x14ac:dyDescent="0.3">
      <c r="B435" t="s">
        <v>980</v>
      </c>
    </row>
    <row r="436" spans="2:2" x14ac:dyDescent="0.3">
      <c r="B436" t="s">
        <v>981</v>
      </c>
    </row>
    <row r="437" spans="2:2" x14ac:dyDescent="0.3">
      <c r="B437" t="s">
        <v>982</v>
      </c>
    </row>
    <row r="438" spans="2:2" x14ac:dyDescent="0.3">
      <c r="B438" t="s">
        <v>983</v>
      </c>
    </row>
    <row r="439" spans="2:2" x14ac:dyDescent="0.3">
      <c r="B439" t="s">
        <v>984</v>
      </c>
    </row>
    <row r="440" spans="2:2" x14ac:dyDescent="0.3">
      <c r="B440" t="s">
        <v>985</v>
      </c>
    </row>
    <row r="441" spans="2:2" x14ac:dyDescent="0.3">
      <c r="B441" t="s">
        <v>986</v>
      </c>
    </row>
    <row r="442" spans="2:2" x14ac:dyDescent="0.3">
      <c r="B442" t="s">
        <v>987</v>
      </c>
    </row>
    <row r="443" spans="2:2" x14ac:dyDescent="0.3">
      <c r="B443" t="s">
        <v>988</v>
      </c>
    </row>
  </sheetData>
  <mergeCells count="4">
    <mergeCell ref="C6:M6"/>
    <mergeCell ref="U237:W237"/>
    <mergeCell ref="X237:AA237"/>
    <mergeCell ref="AB237:AE237"/>
  </mergeCells>
  <conditionalFormatting sqref="U239:W289">
    <cfRule type="cellIs" dxfId="11" priority="22" operator="lessThan">
      <formula>0</formula>
    </cfRule>
  </conditionalFormatting>
  <conditionalFormatting sqref="U239:W289">
    <cfRule type="cellIs" dxfId="10" priority="21" operator="lessThan">
      <formula>1</formula>
    </cfRule>
  </conditionalFormatting>
  <conditionalFormatting sqref="W239:W289">
    <cfRule type="cellIs" dxfId="9" priority="20" operator="lessThan">
      <formula>0</formula>
    </cfRule>
  </conditionalFormatting>
  <conditionalFormatting sqref="W239:W289">
    <cfRule type="cellIs" dxfId="8" priority="19" operator="lessThan">
      <formula>1</formula>
    </cfRule>
  </conditionalFormatting>
  <conditionalFormatting sqref="X239:X289">
    <cfRule type="cellIs" dxfId="7" priority="18" operator="lessThan">
      <formula>0</formula>
    </cfRule>
  </conditionalFormatting>
  <conditionalFormatting sqref="X239:X289">
    <cfRule type="cellIs" dxfId="6" priority="17" operator="lessThan">
      <formula>1</formula>
    </cfRule>
  </conditionalFormatting>
  <conditionalFormatting sqref="AA239:AA292">
    <cfRule type="cellIs" dxfId="5" priority="16" operator="lessThan">
      <formula>0</formula>
    </cfRule>
  </conditionalFormatting>
  <conditionalFormatting sqref="AA239:AA292">
    <cfRule type="cellIs" dxfId="4" priority="15" operator="lessThan">
      <formula>1</formula>
    </cfRule>
  </conditionalFormatting>
  <conditionalFormatting sqref="Y239:Y289">
    <cfRule type="cellIs" dxfId="3" priority="10" operator="lessThan">
      <formula>0</formula>
    </cfRule>
  </conditionalFormatting>
  <conditionalFormatting sqref="Y239:Y289">
    <cfRule type="cellIs" dxfId="2" priority="9" operator="lessThan">
      <formula>1</formula>
    </cfRule>
  </conditionalFormatting>
  <conditionalFormatting sqref="Z239:Z289">
    <cfRule type="cellIs" dxfId="1" priority="8" operator="lessThan">
      <formula>0</formula>
    </cfRule>
  </conditionalFormatting>
  <conditionalFormatting sqref="Z239:Z289">
    <cfRule type="cellIs" dxfId="0" priority="7" operator="lessThan">
      <formula>1</formula>
    </cfRule>
  </conditionalFormatting>
  <pageMargins left="0.7" right="0.7" top="0.75" bottom="0.75" header="0.3" footer="0.3"/>
  <pageSetup scale="38" orientation="portrait"/>
  <rowBreaks count="2" manualBreakCount="2">
    <brk id="120" max="16383" man="1"/>
    <brk id="232"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3"/>
  <sheetViews>
    <sheetView workbookViewId="0">
      <pane xSplit="3" ySplit="5" topLeftCell="D39" activePane="bottomRight" state="frozen"/>
      <selection pane="topRight" activeCell="D1" sqref="D1"/>
      <selection pane="bottomLeft" activeCell="A6" sqref="A6"/>
      <selection pane="bottomRight" activeCell="E52" sqref="E52"/>
    </sheetView>
  </sheetViews>
  <sheetFormatPr defaultColWidth="8.77734375" defaultRowHeight="14.4"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5" t="str">
        <f>'B. Implementation Plan'!E3:O3</f>
        <v>Kentucky Preschool Program - Intermediate</v>
      </c>
      <c r="F3" s="776"/>
      <c r="G3" s="776"/>
      <c r="H3" s="776"/>
      <c r="I3" s="776"/>
      <c r="J3" s="776"/>
      <c r="K3" s="776"/>
      <c r="L3" s="776"/>
      <c r="M3" s="776"/>
      <c r="N3" s="776"/>
      <c r="O3" s="776"/>
      <c r="P3" s="538" t="str">
        <f>'B. Implementation Plan'!P3</f>
        <v>Kentucky Preschool Program - Intermediate</v>
      </c>
    </row>
    <row r="4" spans="1:16" s="31" customFormat="1" ht="18" x14ac:dyDescent="0.35">
      <c r="C4" s="32" t="s">
        <v>432</v>
      </c>
      <c r="D4"/>
      <c r="E4" s="775" t="str">
        <f>'B. Implementation Plan'!E4:O4</f>
        <v>na</v>
      </c>
      <c r="F4" s="776"/>
      <c r="G4" s="776"/>
      <c r="H4" s="776"/>
      <c r="I4" s="776"/>
      <c r="J4" s="776"/>
      <c r="K4" s="776"/>
      <c r="L4" s="776"/>
      <c r="M4" s="776"/>
      <c r="N4" s="776"/>
      <c r="O4" s="776"/>
      <c r="P4" s="539" t="str">
        <f>'B. Implementation Plan'!P4</f>
        <v>na</v>
      </c>
    </row>
    <row r="5" spans="1:16" s="31" customFormat="1" ht="18.600000000000001" thickBot="1" x14ac:dyDescent="0.4">
      <c r="C5" s="32" t="s">
        <v>17</v>
      </c>
      <c r="D5"/>
      <c r="E5" s="775" t="str">
        <f>'B. Implementation Plan'!E5:O5</f>
        <v>Kentucky, KY</v>
      </c>
      <c r="F5" s="776"/>
      <c r="G5" s="776"/>
      <c r="H5" s="776"/>
      <c r="I5" s="776"/>
      <c r="J5" s="776"/>
      <c r="K5" s="776"/>
      <c r="L5" s="776"/>
      <c r="M5" s="776"/>
      <c r="N5" s="776"/>
      <c r="O5" s="776"/>
      <c r="P5" s="540" t="str">
        <f>'B. Implementation Plan'!P5</f>
        <v>Kentucky, KY</v>
      </c>
    </row>
    <row r="6" spans="1:16" ht="15" thickBot="1" x14ac:dyDescent="0.35"/>
    <row r="7" spans="1:16" s="67" customFormat="1" ht="15.6" x14ac:dyDescent="0.3">
      <c r="A7" s="62"/>
      <c r="B7" s="62" t="s">
        <v>437</v>
      </c>
      <c r="D7" s="65"/>
      <c r="E7" s="66">
        <v>0</v>
      </c>
      <c r="F7" s="66">
        <v>1</v>
      </c>
      <c r="G7" s="66">
        <v>2</v>
      </c>
      <c r="H7" s="66">
        <v>3</v>
      </c>
      <c r="I7" s="66">
        <v>4</v>
      </c>
      <c r="J7" s="66">
        <v>5</v>
      </c>
      <c r="K7" s="66">
        <v>6</v>
      </c>
      <c r="L7" s="66">
        <v>7</v>
      </c>
      <c r="M7" s="66">
        <v>8</v>
      </c>
      <c r="N7" s="66">
        <v>9</v>
      </c>
      <c r="O7" s="213">
        <v>10</v>
      </c>
      <c r="P7" s="214" t="s">
        <v>2</v>
      </c>
    </row>
    <row r="8" spans="1:16" x14ac:dyDescent="0.3">
      <c r="A8" s="1"/>
      <c r="B8" s="1"/>
      <c r="C8" s="60" t="s">
        <v>97</v>
      </c>
      <c r="D8" s="68"/>
      <c r="E8" s="15">
        <f ca="1">OFFSET('B. Implementation Plan'!E24,E7,0)</f>
        <v>0</v>
      </c>
      <c r="F8" s="15">
        <f ca="1">OFFSET('B. Implementation Plan'!E24,F7,0)</f>
        <v>0</v>
      </c>
      <c r="G8" s="15">
        <f ca="1">OFFSET('B. Implementation Plan'!E24,G7,0)</f>
        <v>0</v>
      </c>
      <c r="H8" s="15">
        <f ca="1">OFFSET('B. Implementation Plan'!E24,H7,0)</f>
        <v>0</v>
      </c>
      <c r="I8" s="15">
        <f ca="1">OFFSET('B. Implementation Plan'!E24,I7,0)</f>
        <v>0</v>
      </c>
      <c r="J8" s="15">
        <f ca="1">OFFSET('B. Implementation Plan'!E24,J7,0)</f>
        <v>0</v>
      </c>
      <c r="K8" s="15">
        <f ca="1">OFFSET('B. Implementation Plan'!E24,K7,0)</f>
        <v>0</v>
      </c>
      <c r="L8" s="15">
        <f ca="1">OFFSET('B. Implementation Plan'!E24,L7,0)</f>
        <v>0</v>
      </c>
      <c r="M8" s="15">
        <f ca="1">OFFSET('B. Implementation Plan'!E24,M7,0)</f>
        <v>0</v>
      </c>
      <c r="N8" s="15">
        <f ca="1">OFFSET('B. Implementation Plan'!E24,N7,0)</f>
        <v>0</v>
      </c>
      <c r="O8" s="15">
        <f ca="1">OFFSET('B. Implementation Plan'!E24,O7,0)</f>
        <v>0</v>
      </c>
      <c r="P8" s="78">
        <f ca="1">IF(O8=0,IF(N8=0,IF(M8=0,IF(L8=0,IF(K8=0,IF(J8=0,IF(I8=0,IF(H8=0,IF(G8=0,IF(F8=0,E8,F8),G8),H8),I8),J8),K8),L8),M8),N8),O8)</f>
        <v>0</v>
      </c>
    </row>
    <row r="9" spans="1:16" x14ac:dyDescent="0.3">
      <c r="A9" s="1"/>
      <c r="B9" s="1"/>
      <c r="C9" s="60" t="s">
        <v>98</v>
      </c>
      <c r="D9" s="68"/>
      <c r="E9" s="15">
        <f ca="1">OFFSET('B. Implementation Plan'!F24,E7,0)</f>
        <v>0</v>
      </c>
      <c r="F9" s="15">
        <f ca="1">OFFSET('B. Implementation Plan'!F24,F7,0)</f>
        <v>0</v>
      </c>
      <c r="G9" s="15">
        <f ca="1">OFFSET('B. Implementation Plan'!F24,G7,0)</f>
        <v>0</v>
      </c>
      <c r="H9" s="15">
        <f ca="1">OFFSET('B. Implementation Plan'!F24,H7,0)</f>
        <v>0</v>
      </c>
      <c r="I9" s="15">
        <f ca="1">OFFSET('B. Implementation Plan'!F24,I7,0)</f>
        <v>0</v>
      </c>
      <c r="J9" s="15">
        <f ca="1">OFFSET('B. Implementation Plan'!F24,J7,0)</f>
        <v>0</v>
      </c>
      <c r="K9" s="15">
        <f ca="1">OFFSET('B. Implementation Plan'!F24,K7,0)</f>
        <v>0</v>
      </c>
      <c r="L9" s="15">
        <f ca="1">OFFSET('B. Implementation Plan'!F24,L7,0)</f>
        <v>0</v>
      </c>
      <c r="M9" s="15">
        <f ca="1">OFFSET('B. Implementation Plan'!F24,M7,0)</f>
        <v>0</v>
      </c>
      <c r="N9" s="15">
        <f ca="1">OFFSET('B. Implementation Plan'!F24,N7,0)</f>
        <v>0</v>
      </c>
      <c r="O9" s="15">
        <f ca="1">OFFSET('B. Implementation Plan'!F24,O7,0)</f>
        <v>0</v>
      </c>
      <c r="P9" s="78">
        <f t="shared" ref="P9:P23" ca="1" si="0">IF(O9=0,IF(N9=0,IF(M9=0,IF(L9=0,IF(K9=0,IF(J9=0,IF(I9=0,IF(H9=0,IF(G9=0,IF(F9=0,E9,F9),G9),H9),I9),J9),K9),L9),M9),N9),O9)</f>
        <v>0</v>
      </c>
    </row>
    <row r="10" spans="1:16" x14ac:dyDescent="0.3">
      <c r="A10" s="1"/>
      <c r="B10" s="1"/>
      <c r="C10" s="60" t="s">
        <v>99</v>
      </c>
      <c r="D10" s="68"/>
      <c r="E10" s="15">
        <f ca="1">OFFSET('B. Implementation Plan'!G24,E7,0)</f>
        <v>0</v>
      </c>
      <c r="F10" s="15">
        <f ca="1">OFFSET('B. Implementation Plan'!G24,F7,0)</f>
        <v>0</v>
      </c>
      <c r="G10" s="15">
        <f ca="1">OFFSET('B. Implementation Plan'!G24,G7,0)</f>
        <v>0</v>
      </c>
      <c r="H10" s="15">
        <f ca="1">OFFSET('B. Implementation Plan'!G24,H7,0)</f>
        <v>0</v>
      </c>
      <c r="I10" s="15">
        <f ca="1">OFFSET('B. Implementation Plan'!G24,I7,0)</f>
        <v>0</v>
      </c>
      <c r="J10" s="15">
        <f ca="1">OFFSET('B. Implementation Plan'!G24,J7,0)</f>
        <v>0</v>
      </c>
      <c r="K10" s="15">
        <f ca="1">OFFSET('B. Implementation Plan'!G24,K7,0)</f>
        <v>0</v>
      </c>
      <c r="L10" s="15">
        <f ca="1">OFFSET('B. Implementation Plan'!G24,L7,0)</f>
        <v>0</v>
      </c>
      <c r="M10" s="15">
        <f ca="1">OFFSET('B. Implementation Plan'!G24,M7,0)</f>
        <v>0</v>
      </c>
      <c r="N10" s="15">
        <f ca="1">OFFSET('B. Implementation Plan'!G24,N7,0)</f>
        <v>0</v>
      </c>
      <c r="O10" s="15">
        <f ca="1">OFFSET('B. Implementation Plan'!G24,O7,0)</f>
        <v>0</v>
      </c>
      <c r="P10" s="78">
        <f t="shared" ca="1" si="0"/>
        <v>0</v>
      </c>
    </row>
    <row r="11" spans="1:16" x14ac:dyDescent="0.3">
      <c r="A11" s="1"/>
      <c r="B11" s="1"/>
      <c r="C11" s="64" t="s">
        <v>29</v>
      </c>
      <c r="D11" s="68"/>
      <c r="E11" s="324">
        <f ca="1">SUM(E8:E10)</f>
        <v>0</v>
      </c>
      <c r="F11" s="324">
        <f t="shared" ref="F11:O11" ca="1" si="1">SUM(F8:F10)</f>
        <v>0</v>
      </c>
      <c r="G11" s="324">
        <f t="shared" ca="1" si="1"/>
        <v>0</v>
      </c>
      <c r="H11" s="324">
        <f t="shared" ca="1" si="1"/>
        <v>0</v>
      </c>
      <c r="I11" s="324">
        <f t="shared" ca="1" si="1"/>
        <v>0</v>
      </c>
      <c r="J11" s="324">
        <f t="shared" ca="1" si="1"/>
        <v>0</v>
      </c>
      <c r="K11" s="324">
        <f t="shared" ca="1" si="1"/>
        <v>0</v>
      </c>
      <c r="L11" s="324">
        <f t="shared" ca="1" si="1"/>
        <v>0</v>
      </c>
      <c r="M11" s="324">
        <f t="shared" ca="1" si="1"/>
        <v>0</v>
      </c>
      <c r="N11" s="324">
        <f t="shared" ca="1" si="1"/>
        <v>0</v>
      </c>
      <c r="O11" s="324">
        <f t="shared" ca="1" si="1"/>
        <v>0</v>
      </c>
      <c r="P11" s="325">
        <f t="shared" ca="1" si="0"/>
        <v>0</v>
      </c>
    </row>
    <row r="12" spans="1:16" x14ac:dyDescent="0.3">
      <c r="A12" s="1"/>
      <c r="B12" s="1"/>
      <c r="C12" s="60" t="s">
        <v>100</v>
      </c>
      <c r="D12" s="68"/>
      <c r="E12" s="15">
        <f ca="1">OFFSET('B. Implementation Plan'!H24,E7,0)</f>
        <v>18500</v>
      </c>
      <c r="F12" s="15">
        <f ca="1">OFFSET('B. Implementation Plan'!H24,F7,0)</f>
        <v>19000</v>
      </c>
      <c r="G12" s="15">
        <f ca="1">OFFSET('B. Implementation Plan'!H24,G7,0)</f>
        <v>19500</v>
      </c>
      <c r="H12" s="15">
        <f ca="1">OFFSET('B. Implementation Plan'!H24,H7,0)</f>
        <v>20000</v>
      </c>
      <c r="I12" s="15">
        <f ca="1">OFFSET('B. Implementation Plan'!H24,I7,0)</f>
        <v>20500</v>
      </c>
      <c r="J12" s="15">
        <f ca="1">OFFSET('B. Implementation Plan'!H24,J7,0)</f>
        <v>21000</v>
      </c>
      <c r="K12" s="15">
        <f ca="1">OFFSET('B. Implementation Plan'!H24,K7,0)</f>
        <v>21500</v>
      </c>
      <c r="L12" s="15">
        <f ca="1">OFFSET('B. Implementation Plan'!H24,L7,0)</f>
        <v>22000</v>
      </c>
      <c r="M12" s="15">
        <f ca="1">OFFSET('B. Implementation Plan'!H24,M7,0)</f>
        <v>22500</v>
      </c>
      <c r="N12" s="15">
        <f ca="1">OFFSET('B. Implementation Plan'!H24,N7,0)</f>
        <v>23000</v>
      </c>
      <c r="O12" s="15">
        <f ca="1">OFFSET('B. Implementation Plan'!H24,O7,0)</f>
        <v>23500</v>
      </c>
      <c r="P12" s="78">
        <f t="shared" ca="1" si="0"/>
        <v>23500</v>
      </c>
    </row>
    <row r="13" spans="1:16" x14ac:dyDescent="0.3">
      <c r="A13" s="1"/>
      <c r="B13" s="1"/>
      <c r="C13" s="60" t="s">
        <v>101</v>
      </c>
      <c r="D13" s="68"/>
      <c r="E13" s="15">
        <f ca="1">OFFSET('B. Implementation Plan'!I24,E7,0)</f>
        <v>650</v>
      </c>
      <c r="F13" s="15">
        <f ca="1">OFFSET('B. Implementation Plan'!I24,F7,0)</f>
        <v>650</v>
      </c>
      <c r="G13" s="15">
        <f ca="1">OFFSET('B. Implementation Plan'!I24,G7,0)</f>
        <v>650</v>
      </c>
      <c r="H13" s="15">
        <f ca="1">OFFSET('B. Implementation Plan'!I24,H7,0)</f>
        <v>650</v>
      </c>
      <c r="I13" s="15">
        <f ca="1">OFFSET('B. Implementation Plan'!I24,I7,0)</f>
        <v>650</v>
      </c>
      <c r="J13" s="15">
        <f ca="1">OFFSET('B. Implementation Plan'!I24,J7,0)</f>
        <v>650</v>
      </c>
      <c r="K13" s="15">
        <f ca="1">OFFSET('B. Implementation Plan'!I24,K7,0)</f>
        <v>650</v>
      </c>
      <c r="L13" s="15">
        <f ca="1">OFFSET('B. Implementation Plan'!I24,L7,0)</f>
        <v>650</v>
      </c>
      <c r="M13" s="15">
        <f ca="1">OFFSET('B. Implementation Plan'!I24,M7,0)</f>
        <v>650</v>
      </c>
      <c r="N13" s="15">
        <f ca="1">OFFSET('B. Implementation Plan'!I24,N7,0)</f>
        <v>650</v>
      </c>
      <c r="O13" s="15">
        <f ca="1">OFFSET('B. Implementation Plan'!I24,O7,0)</f>
        <v>650</v>
      </c>
      <c r="P13" s="78">
        <f t="shared" ca="1" si="0"/>
        <v>650</v>
      </c>
    </row>
    <row r="14" spans="1:16" x14ac:dyDescent="0.3">
      <c r="A14" s="1"/>
      <c r="B14" s="1"/>
      <c r="C14" s="60" t="s">
        <v>102</v>
      </c>
      <c r="D14" s="68"/>
      <c r="E14" s="15">
        <f ca="1">OFFSET('B. Implementation Plan'!J24,E7,0)</f>
        <v>0</v>
      </c>
      <c r="F14" s="15">
        <f ca="1">OFFSET('B. Implementation Plan'!J24,F7,0)</f>
        <v>0</v>
      </c>
      <c r="G14" s="15">
        <f ca="1">OFFSET('B. Implementation Plan'!J24,G7,0)</f>
        <v>0</v>
      </c>
      <c r="H14" s="15">
        <f ca="1">OFFSET('B. Implementation Plan'!J24,H7,0)</f>
        <v>0</v>
      </c>
      <c r="I14" s="15">
        <f ca="1">OFFSET('B. Implementation Plan'!J24,I7,0)</f>
        <v>0</v>
      </c>
      <c r="J14" s="15">
        <f ca="1">OFFSET('B. Implementation Plan'!J24,J7,0)</f>
        <v>0</v>
      </c>
      <c r="K14" s="15">
        <f ca="1">OFFSET('B. Implementation Plan'!J24,K7,0)</f>
        <v>0</v>
      </c>
      <c r="L14" s="15">
        <f ca="1">OFFSET('B. Implementation Plan'!J24,L7,0)</f>
        <v>0</v>
      </c>
      <c r="M14" s="15">
        <f ca="1">OFFSET('B. Implementation Plan'!J24,M7,0)</f>
        <v>0</v>
      </c>
      <c r="N14" s="15">
        <f ca="1">OFFSET('B. Implementation Plan'!J24,N7,0)</f>
        <v>0</v>
      </c>
      <c r="O14" s="15">
        <f ca="1">OFFSET('B. Implementation Plan'!J24,O7,0)</f>
        <v>0</v>
      </c>
      <c r="P14" s="78">
        <f t="shared" ca="1" si="0"/>
        <v>0</v>
      </c>
    </row>
    <row r="15" spans="1:16" x14ac:dyDescent="0.3">
      <c r="A15" s="1"/>
      <c r="B15" s="1"/>
      <c r="C15" s="64" t="s">
        <v>84</v>
      </c>
      <c r="D15" s="68"/>
      <c r="E15" s="324">
        <f ca="1">SUM(E12:E14)</f>
        <v>19150</v>
      </c>
      <c r="F15" s="324">
        <f t="shared" ref="F15" ca="1" si="2">SUM(F12:F14)</f>
        <v>19650</v>
      </c>
      <c r="G15" s="324">
        <f t="shared" ref="G15" ca="1" si="3">SUM(G12:G14)</f>
        <v>20150</v>
      </c>
      <c r="H15" s="324">
        <f t="shared" ref="H15" ca="1" si="4">SUM(H12:H14)</f>
        <v>20650</v>
      </c>
      <c r="I15" s="324">
        <f t="shared" ref="I15" ca="1" si="5">SUM(I12:I14)</f>
        <v>21150</v>
      </c>
      <c r="J15" s="324">
        <f t="shared" ref="J15" ca="1" si="6">SUM(J12:J14)</f>
        <v>21650</v>
      </c>
      <c r="K15" s="324">
        <f t="shared" ref="K15" ca="1" si="7">SUM(K12:K14)</f>
        <v>22150</v>
      </c>
      <c r="L15" s="324">
        <f t="shared" ref="L15" ca="1" si="8">SUM(L12:L14)</f>
        <v>22650</v>
      </c>
      <c r="M15" s="324">
        <f t="shared" ref="M15" ca="1" si="9">SUM(M12:M14)</f>
        <v>23150</v>
      </c>
      <c r="N15" s="324">
        <f t="shared" ref="N15" ca="1" si="10">SUM(N12:N14)</f>
        <v>23650</v>
      </c>
      <c r="O15" s="324">
        <f t="shared" ref="O15" ca="1" si="11">SUM(O12:O14)</f>
        <v>24150</v>
      </c>
      <c r="P15" s="78">
        <f t="shared" ca="1" si="0"/>
        <v>24150</v>
      </c>
    </row>
    <row r="16" spans="1:16" x14ac:dyDescent="0.3">
      <c r="A16" s="1"/>
      <c r="B16" s="1"/>
      <c r="C16" s="60" t="s">
        <v>103</v>
      </c>
      <c r="D16" s="68"/>
      <c r="E16" s="15">
        <f ca="1">OFFSET('B. Implementation Plan'!K24,E7,0)</f>
        <v>0</v>
      </c>
      <c r="F16" s="15">
        <f ca="1">OFFSET('B. Implementation Plan'!K24,F7,0)</f>
        <v>0</v>
      </c>
      <c r="G16" s="15">
        <f ca="1">OFFSET('B. Implementation Plan'!K24,G7,0)</f>
        <v>0</v>
      </c>
      <c r="H16" s="15">
        <f ca="1">OFFSET('B. Implementation Plan'!K24,H7,0)</f>
        <v>0</v>
      </c>
      <c r="I16" s="15">
        <f ca="1">OFFSET('B. Implementation Plan'!K24,I7,0)</f>
        <v>0</v>
      </c>
      <c r="J16" s="15">
        <f ca="1">OFFSET('B. Implementation Plan'!K24,J7,0)</f>
        <v>0</v>
      </c>
      <c r="K16" s="15">
        <f ca="1">OFFSET('B. Implementation Plan'!K24,K7,0)</f>
        <v>0</v>
      </c>
      <c r="L16" s="15">
        <f ca="1">OFFSET('B. Implementation Plan'!K24,L7,0)</f>
        <v>0</v>
      </c>
      <c r="M16" s="15">
        <f ca="1">OFFSET('B. Implementation Plan'!K24,M7,0)</f>
        <v>0</v>
      </c>
      <c r="N16" s="15">
        <f ca="1">OFFSET('B. Implementation Plan'!K24,N7,0)</f>
        <v>0</v>
      </c>
      <c r="O16" s="15">
        <f ca="1">OFFSET('B. Implementation Plan'!K24,O7,0)</f>
        <v>0</v>
      </c>
      <c r="P16" s="78">
        <f t="shared" ca="1" si="0"/>
        <v>0</v>
      </c>
    </row>
    <row r="17" spans="1:16" x14ac:dyDescent="0.3">
      <c r="A17" s="1"/>
      <c r="B17" s="1"/>
      <c r="C17" s="60" t="s">
        <v>807</v>
      </c>
      <c r="D17" s="68"/>
      <c r="E17" s="15">
        <f ca="1">OFFSET('B. Implementation Plan'!L24,E7,0)</f>
        <v>0</v>
      </c>
      <c r="F17" s="15">
        <f ca="1">OFFSET('B. Implementation Plan'!L24,F7,0)</f>
        <v>0</v>
      </c>
      <c r="G17" s="15">
        <f ca="1">OFFSET('B. Implementation Plan'!L24,G7,0)</f>
        <v>0</v>
      </c>
      <c r="H17" s="15">
        <f ca="1">OFFSET('B. Implementation Plan'!L24,H7,0)</f>
        <v>0</v>
      </c>
      <c r="I17" s="15">
        <f ca="1">OFFSET('B. Implementation Plan'!L24,I7,0)</f>
        <v>0</v>
      </c>
      <c r="J17" s="15">
        <f ca="1">OFFSET('B. Implementation Plan'!L24,J7,0)</f>
        <v>0</v>
      </c>
      <c r="K17" s="15">
        <f ca="1">OFFSET('B. Implementation Plan'!L24,K7,0)</f>
        <v>0</v>
      </c>
      <c r="L17" s="15">
        <f ca="1">OFFSET('B. Implementation Plan'!L24,L7,0)</f>
        <v>0</v>
      </c>
      <c r="M17" s="15">
        <f ca="1">OFFSET('B. Implementation Plan'!L24,M7,0)</f>
        <v>0</v>
      </c>
      <c r="N17" s="15">
        <f ca="1">OFFSET('B. Implementation Plan'!L24,N7,0)</f>
        <v>0</v>
      </c>
      <c r="O17" s="15">
        <f ca="1">OFFSET('B. Implementation Plan'!L24,O7,0)</f>
        <v>0</v>
      </c>
      <c r="P17" s="78">
        <f t="shared" ca="1" si="0"/>
        <v>0</v>
      </c>
    </row>
    <row r="18" spans="1:16" x14ac:dyDescent="0.3">
      <c r="A18" s="1"/>
      <c r="B18" s="1"/>
      <c r="C18" s="60" t="s">
        <v>808</v>
      </c>
      <c r="D18" s="68"/>
      <c r="E18" s="15">
        <f ca="1">OFFSET('B. Implementation Plan'!M24,E7,0)</f>
        <v>0</v>
      </c>
      <c r="F18" s="15">
        <f ca="1">OFFSET('B. Implementation Plan'!M24,F7,0)</f>
        <v>0</v>
      </c>
      <c r="G18" s="15">
        <f ca="1">OFFSET('B. Implementation Plan'!M24,G7,0)</f>
        <v>0</v>
      </c>
      <c r="H18" s="15">
        <f ca="1">OFFSET('B. Implementation Plan'!M24,H7,0)</f>
        <v>0</v>
      </c>
      <c r="I18" s="15">
        <f ca="1">OFFSET('B. Implementation Plan'!M24,I7,0)</f>
        <v>0</v>
      </c>
      <c r="J18" s="15">
        <f ca="1">OFFSET('B. Implementation Plan'!M24,J7,0)</f>
        <v>0</v>
      </c>
      <c r="K18" s="15">
        <f ca="1">OFFSET('B. Implementation Plan'!M24,K7,0)</f>
        <v>0</v>
      </c>
      <c r="L18" s="15">
        <f ca="1">OFFSET('B. Implementation Plan'!M24,L7,0)</f>
        <v>0</v>
      </c>
      <c r="M18" s="15">
        <f ca="1">OFFSET('B. Implementation Plan'!M24,M7,0)</f>
        <v>0</v>
      </c>
      <c r="N18" s="15">
        <f ca="1">OFFSET('B. Implementation Plan'!M24,N7,0)</f>
        <v>0</v>
      </c>
      <c r="O18" s="15">
        <f ca="1">OFFSET('B. Implementation Plan'!M24,O7,0)</f>
        <v>0</v>
      </c>
      <c r="P18" s="78">
        <f t="shared" ca="1" si="0"/>
        <v>0</v>
      </c>
    </row>
    <row r="19" spans="1:16" x14ac:dyDescent="0.3">
      <c r="A19" s="1"/>
      <c r="B19" s="1"/>
      <c r="C19" s="64" t="s">
        <v>30</v>
      </c>
      <c r="D19" s="68"/>
      <c r="E19" s="324">
        <f ca="1">SUM(E16:E18)</f>
        <v>0</v>
      </c>
      <c r="F19" s="324">
        <f t="shared" ref="F19" ca="1" si="12">SUM(F16:F18)</f>
        <v>0</v>
      </c>
      <c r="G19" s="324">
        <f t="shared" ref="G19" ca="1" si="13">SUM(G16:G18)</f>
        <v>0</v>
      </c>
      <c r="H19" s="324">
        <f t="shared" ref="H19" ca="1" si="14">SUM(H16:H18)</f>
        <v>0</v>
      </c>
      <c r="I19" s="324">
        <f t="shared" ref="I19" ca="1" si="15">SUM(I16:I18)</f>
        <v>0</v>
      </c>
      <c r="J19" s="324">
        <f t="shared" ref="J19" ca="1" si="16">SUM(J16:J18)</f>
        <v>0</v>
      </c>
      <c r="K19" s="324">
        <f t="shared" ref="K19" ca="1" si="17">SUM(K16:K18)</f>
        <v>0</v>
      </c>
      <c r="L19" s="324">
        <f t="shared" ref="L19" ca="1" si="18">SUM(L16:L18)</f>
        <v>0</v>
      </c>
      <c r="M19" s="324">
        <f t="shared" ref="M19" ca="1" si="19">SUM(M16:M18)</f>
        <v>0</v>
      </c>
      <c r="N19" s="324">
        <f t="shared" ref="N19" ca="1" si="20">SUM(N16:N18)</f>
        <v>0</v>
      </c>
      <c r="O19" s="324">
        <f t="shared" ref="O19" ca="1" si="21">SUM(O16:O18)</f>
        <v>0</v>
      </c>
      <c r="P19" s="325">
        <f t="shared" ca="1" si="0"/>
        <v>0</v>
      </c>
    </row>
    <row r="20" spans="1:16" x14ac:dyDescent="0.3">
      <c r="A20" s="1"/>
      <c r="B20" s="1"/>
      <c r="C20" s="61" t="s">
        <v>39</v>
      </c>
      <c r="D20" s="69"/>
      <c r="E20" s="324">
        <f ca="1">E11+E15+E19</f>
        <v>19150</v>
      </c>
      <c r="F20" s="324">
        <f t="shared" ref="F20:O20" ca="1" si="22">F11+F15+F19</f>
        <v>19650</v>
      </c>
      <c r="G20" s="324">
        <f t="shared" ca="1" si="22"/>
        <v>20150</v>
      </c>
      <c r="H20" s="324">
        <f t="shared" ca="1" si="22"/>
        <v>20650</v>
      </c>
      <c r="I20" s="324">
        <f t="shared" ca="1" si="22"/>
        <v>21150</v>
      </c>
      <c r="J20" s="324">
        <f t="shared" ca="1" si="22"/>
        <v>21650</v>
      </c>
      <c r="K20" s="324">
        <f t="shared" ca="1" si="22"/>
        <v>22150</v>
      </c>
      <c r="L20" s="324">
        <f t="shared" ca="1" si="22"/>
        <v>22650</v>
      </c>
      <c r="M20" s="324">
        <f t="shared" ca="1" si="22"/>
        <v>23150</v>
      </c>
      <c r="N20" s="324">
        <f t="shared" ca="1" si="22"/>
        <v>23650</v>
      </c>
      <c r="O20" s="324">
        <f t="shared" ca="1" si="22"/>
        <v>24150</v>
      </c>
      <c r="P20" s="325">
        <f t="shared" ca="1" si="0"/>
        <v>24150</v>
      </c>
    </row>
    <row r="21" spans="1:16" x14ac:dyDescent="0.3">
      <c r="A21" s="1"/>
      <c r="B21" s="1"/>
      <c r="C21" s="63" t="s">
        <v>106</v>
      </c>
      <c r="D21" s="69"/>
      <c r="E21" s="15">
        <f ca="1">E8+E12+E16</f>
        <v>18500</v>
      </c>
      <c r="F21" s="15">
        <f t="shared" ref="F21:O21" ca="1" si="23">F8+F12+F16</f>
        <v>19000</v>
      </c>
      <c r="G21" s="15">
        <f t="shared" ca="1" si="23"/>
        <v>19500</v>
      </c>
      <c r="H21" s="15">
        <f t="shared" ca="1" si="23"/>
        <v>20000</v>
      </c>
      <c r="I21" s="15">
        <f t="shared" ca="1" si="23"/>
        <v>20500</v>
      </c>
      <c r="J21" s="15">
        <f t="shared" ca="1" si="23"/>
        <v>21000</v>
      </c>
      <c r="K21" s="15">
        <f t="shared" ca="1" si="23"/>
        <v>21500</v>
      </c>
      <c r="L21" s="15">
        <f t="shared" ca="1" si="23"/>
        <v>22000</v>
      </c>
      <c r="M21" s="15">
        <f t="shared" ca="1" si="23"/>
        <v>22500</v>
      </c>
      <c r="N21" s="15">
        <f t="shared" ca="1" si="23"/>
        <v>23000</v>
      </c>
      <c r="O21" s="15">
        <f t="shared" ca="1" si="23"/>
        <v>23500</v>
      </c>
      <c r="P21" s="78">
        <f t="shared" ca="1" si="0"/>
        <v>23500</v>
      </c>
    </row>
    <row r="22" spans="1:16" x14ac:dyDescent="0.3">
      <c r="A22" s="1"/>
      <c r="B22" s="1"/>
      <c r="C22" s="63" t="s">
        <v>107</v>
      </c>
      <c r="D22" s="69"/>
      <c r="E22" s="15">
        <f t="shared" ref="E22:O23" ca="1" si="24">E9+E13+E17</f>
        <v>650</v>
      </c>
      <c r="F22" s="15">
        <f t="shared" ca="1" si="24"/>
        <v>650</v>
      </c>
      <c r="G22" s="15">
        <f t="shared" ca="1" si="24"/>
        <v>650</v>
      </c>
      <c r="H22" s="15">
        <f t="shared" ca="1" si="24"/>
        <v>650</v>
      </c>
      <c r="I22" s="15">
        <f t="shared" ca="1" si="24"/>
        <v>650</v>
      </c>
      <c r="J22" s="15">
        <f t="shared" ca="1" si="24"/>
        <v>650</v>
      </c>
      <c r="K22" s="15">
        <f t="shared" ca="1" si="24"/>
        <v>650</v>
      </c>
      <c r="L22" s="15">
        <f t="shared" ca="1" si="24"/>
        <v>650</v>
      </c>
      <c r="M22" s="15">
        <f t="shared" ca="1" si="24"/>
        <v>650</v>
      </c>
      <c r="N22" s="15">
        <f t="shared" ca="1" si="24"/>
        <v>650</v>
      </c>
      <c r="O22" s="15">
        <f t="shared" ca="1" si="24"/>
        <v>650</v>
      </c>
      <c r="P22" s="78">
        <f t="shared" ca="1" si="0"/>
        <v>650</v>
      </c>
    </row>
    <row r="23" spans="1:16" ht="15" thickBot="1" x14ac:dyDescent="0.35">
      <c r="A23" s="1"/>
      <c r="B23" s="1"/>
      <c r="C23" s="63" t="s">
        <v>108</v>
      </c>
      <c r="D23" s="69"/>
      <c r="E23" s="15">
        <f t="shared" ca="1" si="24"/>
        <v>0</v>
      </c>
      <c r="F23" s="15">
        <f t="shared" ca="1" si="24"/>
        <v>0</v>
      </c>
      <c r="G23" s="15">
        <f t="shared" ca="1" si="24"/>
        <v>0</v>
      </c>
      <c r="H23" s="15">
        <f t="shared" ca="1" si="24"/>
        <v>0</v>
      </c>
      <c r="I23" s="15">
        <f t="shared" ca="1" si="24"/>
        <v>0</v>
      </c>
      <c r="J23" s="15">
        <f t="shared" ca="1" si="24"/>
        <v>0</v>
      </c>
      <c r="K23" s="15">
        <f t="shared" ca="1" si="24"/>
        <v>0</v>
      </c>
      <c r="L23" s="15">
        <f t="shared" ca="1" si="24"/>
        <v>0</v>
      </c>
      <c r="M23" s="15">
        <f t="shared" ca="1" si="24"/>
        <v>0</v>
      </c>
      <c r="N23" s="15">
        <f t="shared" ca="1" si="24"/>
        <v>0</v>
      </c>
      <c r="O23" s="15">
        <f t="shared" ca="1" si="24"/>
        <v>0</v>
      </c>
      <c r="P23" s="79">
        <f t="shared" ca="1" si="0"/>
        <v>0</v>
      </c>
    </row>
    <row r="24" spans="1:16" x14ac:dyDescent="0.3">
      <c r="A24" s="1"/>
      <c r="B24" s="1"/>
      <c r="C24" s="21"/>
      <c r="D24" s="19"/>
      <c r="E24" s="49"/>
      <c r="F24" s="30"/>
      <c r="G24" s="19"/>
      <c r="H24" s="19"/>
      <c r="I24" s="19"/>
      <c r="J24" s="19"/>
      <c r="K24" s="19"/>
      <c r="L24" s="19"/>
      <c r="M24" s="19"/>
      <c r="N24" s="19"/>
      <c r="O24" s="19"/>
      <c r="P24" s="30"/>
    </row>
    <row r="25" spans="1:16" ht="15" thickBot="1" x14ac:dyDescent="0.35">
      <c r="A25" s="1"/>
      <c r="B25" s="1"/>
      <c r="C25" s="21"/>
      <c r="D25" s="19"/>
      <c r="E25" s="49"/>
      <c r="F25" s="30"/>
      <c r="G25" s="19"/>
      <c r="H25" s="19"/>
      <c r="I25" s="19"/>
      <c r="J25" s="19"/>
      <c r="K25" s="19"/>
      <c r="L25" s="19"/>
      <c r="M25" s="19"/>
      <c r="N25" s="19"/>
      <c r="O25" s="19"/>
      <c r="P25" s="30"/>
    </row>
    <row r="26" spans="1:16" s="67" customFormat="1" ht="15.6" x14ac:dyDescent="0.3">
      <c r="A26" s="62"/>
      <c r="B26" s="62" t="s">
        <v>438</v>
      </c>
      <c r="D26" s="65"/>
      <c r="E26" s="66">
        <v>0</v>
      </c>
      <c r="F26" s="66">
        <v>1</v>
      </c>
      <c r="G26" s="66">
        <v>2</v>
      </c>
      <c r="H26" s="66">
        <v>3</v>
      </c>
      <c r="I26" s="66">
        <v>4</v>
      </c>
      <c r="J26" s="66">
        <v>5</v>
      </c>
      <c r="K26" s="66">
        <v>6</v>
      </c>
      <c r="L26" s="66">
        <v>7</v>
      </c>
      <c r="M26" s="66">
        <v>8</v>
      </c>
      <c r="N26" s="66">
        <v>9</v>
      </c>
      <c r="O26" s="213">
        <v>10</v>
      </c>
      <c r="P26" s="351" t="s">
        <v>2</v>
      </c>
    </row>
    <row r="27" spans="1:16" s="67" customFormat="1" ht="15.6" x14ac:dyDescent="0.3">
      <c r="A27" s="62"/>
      <c r="B27" s="62"/>
      <c r="C27" s="13" t="s">
        <v>16</v>
      </c>
      <c r="D27" s="65"/>
      <c r="E27" s="150"/>
      <c r="F27" s="150"/>
      <c r="G27" s="150"/>
      <c r="H27" s="150"/>
      <c r="I27" s="150"/>
      <c r="J27" s="150"/>
      <c r="K27" s="150"/>
      <c r="L27" s="150"/>
      <c r="M27" s="150"/>
      <c r="N27" s="150"/>
      <c r="O27" s="150"/>
      <c r="P27" s="352">
        <f>'B. Implementation Plan'!P37</f>
        <v>1.6</v>
      </c>
    </row>
    <row r="28" spans="1:16" s="67" customFormat="1" ht="15.6" x14ac:dyDescent="0.3">
      <c r="A28" s="62"/>
      <c r="B28" s="62"/>
      <c r="C28" s="198" t="s">
        <v>637</v>
      </c>
      <c r="D28" s="65"/>
      <c r="E28" s="15">
        <f ca="1">ROUND(E11*(1-P34-P41),0)</f>
        <v>0</v>
      </c>
      <c r="F28" s="15">
        <f ca="1">ROUND(F11*(1-P34-P41),0)</f>
        <v>0</v>
      </c>
      <c r="G28" s="15">
        <f ca="1">ROUND(G11*(1-P34-P41),0)</f>
        <v>0</v>
      </c>
      <c r="H28" s="15">
        <f ca="1">ROUND(H11*(1-P34-P41),0)</f>
        <v>0</v>
      </c>
      <c r="I28" s="15">
        <f ca="1">ROUND(I11*(1-P34-P41),0)</f>
        <v>0</v>
      </c>
      <c r="J28" s="15">
        <f ca="1">ROUND(J11*(1-P34-P41),0)</f>
        <v>0</v>
      </c>
      <c r="K28" s="15">
        <f ca="1">ROUND(K11*(1-P34-P41),0)</f>
        <v>0</v>
      </c>
      <c r="L28" s="15">
        <f ca="1">ROUND(L11*(1-P34-P41),0)</f>
        <v>0</v>
      </c>
      <c r="M28" s="15">
        <f ca="1">ROUND(M11*(1-P34-P41),0)</f>
        <v>0</v>
      </c>
      <c r="N28" s="15">
        <f ca="1">ROUND(N11*(1-P34-P41),0)</f>
        <v>0</v>
      </c>
      <c r="O28" s="15">
        <f ca="1">ROUND(O11*(1-P34-P41),0)</f>
        <v>0</v>
      </c>
      <c r="P28" s="357">
        <f ca="1">IF(O28=0,IF(N28=0,IF(M28=0,IF(L28=0,IF(K28=0,IF(J28=0,IF(I28=0,IF(H28=0,IF(G28=0,IF(F28=0,E28,F28),G28),H28),I28),J28),K28),L28),M28),N28),O28)</f>
        <v>0</v>
      </c>
    </row>
    <row r="29" spans="1:16" s="67" customFormat="1" ht="15.6" x14ac:dyDescent="0.3">
      <c r="A29" s="62"/>
      <c r="B29" s="62"/>
      <c r="C29" s="198" t="s">
        <v>638</v>
      </c>
      <c r="D29" s="65"/>
      <c r="E29" s="15">
        <f ca="1">ROUND(E15*(1-P34-P41),0)</f>
        <v>8618</v>
      </c>
      <c r="F29" s="15">
        <f ca="1">ROUND(F15*(1-P34-P41),0)</f>
        <v>8843</v>
      </c>
      <c r="G29" s="15">
        <f ca="1">ROUND(G15*(1-P34-P41),0)</f>
        <v>9068</v>
      </c>
      <c r="H29" s="15">
        <f ca="1">ROUND(H15*(1-P34-P41),0)</f>
        <v>9293</v>
      </c>
      <c r="I29" s="15">
        <f ca="1">ROUND(I15*(1-P34-P41),0)</f>
        <v>9518</v>
      </c>
      <c r="J29" s="15">
        <f ca="1">ROUND(J15*(1-P34-P41),0)</f>
        <v>9743</v>
      </c>
      <c r="K29" s="15">
        <f ca="1">ROUND(K15*(1-P34-P41),0)</f>
        <v>9968</v>
      </c>
      <c r="L29" s="15">
        <f ca="1">ROUND(L15*(1-P34-P41),0)</f>
        <v>10193</v>
      </c>
      <c r="M29" s="15">
        <f ca="1">ROUND(M15*(1-P34-P41),0)</f>
        <v>10418</v>
      </c>
      <c r="N29" s="15">
        <f ca="1">ROUND(N15*(1-P34-P41),0)</f>
        <v>10643</v>
      </c>
      <c r="O29" s="15">
        <f ca="1">ROUND(O15*(1-P34-P41),0)</f>
        <v>10868</v>
      </c>
      <c r="P29" s="357">
        <f ca="1">IF(O29=0,IF(N29=0,IF(M29=0,IF(L29=0,IF(K29=0,IF(J29=0,IF(I29=0,IF(H29=0,IF(G29=0,IF(F29=0,E29,F29),G29),H29),I29),J29),K29),L29),M29),N29),O29)</f>
        <v>10868</v>
      </c>
    </row>
    <row r="30" spans="1:16" s="67" customFormat="1" ht="15.6" x14ac:dyDescent="0.3">
      <c r="A30" s="62"/>
      <c r="B30" s="62"/>
      <c r="C30" s="198" t="s">
        <v>639</v>
      </c>
      <c r="D30" s="65"/>
      <c r="E30" s="15">
        <f ca="1">ROUND(E19*(1-P34-P41),0)</f>
        <v>0</v>
      </c>
      <c r="F30" s="15">
        <f ca="1">ROUND(F19*(1-P34-P41),0)</f>
        <v>0</v>
      </c>
      <c r="G30" s="15">
        <f ca="1">ROUND(G19*(1-P34-P41),0)</f>
        <v>0</v>
      </c>
      <c r="H30" s="15">
        <f ca="1">ROUND(H19*(1-P34-P41),0)</f>
        <v>0</v>
      </c>
      <c r="I30" s="15">
        <f ca="1">ROUND(I19*(1-P34-P41),0)</f>
        <v>0</v>
      </c>
      <c r="J30" s="15">
        <f ca="1">ROUND(J19*(1-P34-P41),0)</f>
        <v>0</v>
      </c>
      <c r="K30" s="15">
        <f ca="1">ROUND(K19*(1-P34-P41),0)</f>
        <v>0</v>
      </c>
      <c r="L30" s="15">
        <f ca="1">ROUND(L19*(1-P34-P41),0)</f>
        <v>0</v>
      </c>
      <c r="M30" s="15">
        <f ca="1">ROUND(M19*(1-P34-P41),0)</f>
        <v>0</v>
      </c>
      <c r="N30" s="15">
        <f ca="1">ROUND(N19*(1-P34-P41),0)</f>
        <v>0</v>
      </c>
      <c r="O30" s="15">
        <f ca="1">ROUND(O19*(1-P34-P41),0)</f>
        <v>0</v>
      </c>
      <c r="P30" s="357">
        <f ca="1">IF(O30=0,IF(N30=0,IF(M30=0,IF(L30=0,IF(K30=0,IF(J30=0,IF(I30=0,IF(H30=0,IF(G30=0,IF(F30=0,E30,F30),G30),H30),I30),J30),K30),L30),M30),N30),O30)</f>
        <v>0</v>
      </c>
    </row>
    <row r="31" spans="1:16" s="67" customFormat="1" ht="15.6" x14ac:dyDescent="0.3">
      <c r="A31" s="62"/>
      <c r="B31" s="62"/>
      <c r="C31" s="14" t="s">
        <v>435</v>
      </c>
      <c r="D31" s="65"/>
      <c r="E31" s="15">
        <f ca="1">SUM(E28:E30)</f>
        <v>8618</v>
      </c>
      <c r="F31" s="15">
        <f t="shared" ref="F31:O31" ca="1" si="25">SUM(F28:F30)</f>
        <v>8843</v>
      </c>
      <c r="G31" s="15">
        <f t="shared" ca="1" si="25"/>
        <v>9068</v>
      </c>
      <c r="H31" s="15">
        <f t="shared" ca="1" si="25"/>
        <v>9293</v>
      </c>
      <c r="I31" s="15">
        <f t="shared" ca="1" si="25"/>
        <v>9518</v>
      </c>
      <c r="J31" s="15">
        <f t="shared" ca="1" si="25"/>
        <v>9743</v>
      </c>
      <c r="K31" s="15">
        <f t="shared" ca="1" si="25"/>
        <v>9968</v>
      </c>
      <c r="L31" s="15">
        <f t="shared" ca="1" si="25"/>
        <v>10193</v>
      </c>
      <c r="M31" s="15">
        <f t="shared" ca="1" si="25"/>
        <v>10418</v>
      </c>
      <c r="N31" s="15">
        <f t="shared" ca="1" si="25"/>
        <v>10643</v>
      </c>
      <c r="O31" s="15">
        <f t="shared" ca="1" si="25"/>
        <v>10868</v>
      </c>
      <c r="P31" s="357">
        <f ca="1">IF(O31=0,IF(N31=0,IF(M31=0,IF(L31=0,IF(K31=0,IF(J31=0,IF(I31=0,IF(H31=0,IF(G31=0,IF(F31=0,E31,F31),G31),H31),I31),J31),K31),L31),M31),N31),O31)</f>
        <v>10868</v>
      </c>
    </row>
    <row r="32" spans="1:16" s="67" customFormat="1" ht="15.6" x14ac:dyDescent="0.3">
      <c r="A32" s="62"/>
      <c r="B32" s="62"/>
      <c r="C32" s="14" t="s">
        <v>433</v>
      </c>
      <c r="D32" s="65"/>
      <c r="E32" s="15"/>
      <c r="F32" s="15"/>
      <c r="G32" s="15"/>
      <c r="H32" s="15"/>
      <c r="I32" s="15"/>
      <c r="J32" s="15"/>
      <c r="K32" s="15"/>
      <c r="L32" s="15"/>
      <c r="M32" s="15"/>
      <c r="N32" s="15"/>
      <c r="O32" s="15"/>
      <c r="P32" s="78">
        <f>IF(O32=0,IF(N32=0,IF(M32=0,IF(L32=0,IF(K32=0,IF(J32=0,IF(I32=0,IF(H32=0,IF(G32=0,IF(F32=0,E32,F32),G32),H32),I32),J32),K32),L32),M32),N32),O32)</f>
        <v>0</v>
      </c>
    </row>
    <row r="33" spans="1:16" s="67" customFormat="1" ht="15.6" x14ac:dyDescent="0.3">
      <c r="A33" s="62"/>
      <c r="B33" s="62"/>
      <c r="C33" s="59" t="s">
        <v>436</v>
      </c>
      <c r="D33" s="65"/>
      <c r="E33" s="355" t="str">
        <f ca="1">IFERROR(E31/E32,"")</f>
        <v/>
      </c>
      <c r="F33" s="355" t="str">
        <f t="shared" ref="F33:O33" ca="1" si="26">IFERROR(F31/F32,"")</f>
        <v/>
      </c>
      <c r="G33" s="355" t="str">
        <f t="shared" ca="1" si="26"/>
        <v/>
      </c>
      <c r="H33" s="355" t="str">
        <f t="shared" ca="1" si="26"/>
        <v/>
      </c>
      <c r="I33" s="355" t="str">
        <f t="shared" ca="1" si="26"/>
        <v/>
      </c>
      <c r="J33" s="355" t="str">
        <f t="shared" ca="1" si="26"/>
        <v/>
      </c>
      <c r="K33" s="355" t="str">
        <f t="shared" ca="1" si="26"/>
        <v/>
      </c>
      <c r="L33" s="355" t="str">
        <f t="shared" ca="1" si="26"/>
        <v/>
      </c>
      <c r="M33" s="355" t="str">
        <f t="shared" ca="1" si="26"/>
        <v/>
      </c>
      <c r="N33" s="355" t="str">
        <f t="shared" ca="1" si="26"/>
        <v/>
      </c>
      <c r="O33" s="356" t="str">
        <f t="shared" ca="1" si="26"/>
        <v/>
      </c>
      <c r="P33" s="111" t="str">
        <f ca="1">IFERROR(P31/P32,"")</f>
        <v/>
      </c>
    </row>
    <row r="34" spans="1:16" s="67" customFormat="1" ht="15.6" x14ac:dyDescent="0.3">
      <c r="A34" s="62"/>
      <c r="B34" s="62"/>
      <c r="C34" s="13" t="s">
        <v>439</v>
      </c>
      <c r="D34" s="65"/>
      <c r="E34" s="150"/>
      <c r="F34" s="150"/>
      <c r="G34" s="150"/>
      <c r="H34" s="150"/>
      <c r="I34" s="150"/>
      <c r="J34" s="150"/>
      <c r="K34" s="150"/>
      <c r="L34" s="150"/>
      <c r="M34" s="150"/>
      <c r="N34" s="150"/>
      <c r="O34" s="150"/>
      <c r="P34" s="352">
        <f>'B. Implementation Plan'!E38</f>
        <v>0.05</v>
      </c>
    </row>
    <row r="35" spans="1:16" s="67" customFormat="1" ht="15.6" x14ac:dyDescent="0.3">
      <c r="A35" s="62"/>
      <c r="B35" s="62"/>
      <c r="C35" s="198" t="s">
        <v>640</v>
      </c>
      <c r="D35" s="65"/>
      <c r="E35" s="15">
        <f ca="1">ROUND(E11*P34,0)</f>
        <v>0</v>
      </c>
      <c r="F35" s="15">
        <f ca="1">ROUND(F11*P34,0)</f>
        <v>0</v>
      </c>
      <c r="G35" s="15">
        <f ca="1">ROUND(G11*P34,0)</f>
        <v>0</v>
      </c>
      <c r="H35" s="15">
        <f ca="1">ROUND(H11*P34,0)</f>
        <v>0</v>
      </c>
      <c r="I35" s="15">
        <f ca="1">ROUND(I11*P34,0)</f>
        <v>0</v>
      </c>
      <c r="J35" s="15">
        <f ca="1">ROUND(J11*P34,0)</f>
        <v>0</v>
      </c>
      <c r="K35" s="15">
        <f ca="1">ROUND(K11*P34,0)</f>
        <v>0</v>
      </c>
      <c r="L35" s="15">
        <f ca="1">ROUND(L11*P34,0)</f>
        <v>0</v>
      </c>
      <c r="M35" s="15">
        <f ca="1">ROUND(M11*P34,0)</f>
        <v>0</v>
      </c>
      <c r="N35" s="15">
        <f ca="1">ROUND(N11*P34,0)</f>
        <v>0</v>
      </c>
      <c r="O35" s="15">
        <f ca="1">ROUND(O11*P34,0)</f>
        <v>0</v>
      </c>
      <c r="P35" s="352"/>
    </row>
    <row r="36" spans="1:16" s="67" customFormat="1" ht="15.6" x14ac:dyDescent="0.3">
      <c r="A36" s="62"/>
      <c r="B36" s="62"/>
      <c r="C36" s="198" t="s">
        <v>641</v>
      </c>
      <c r="D36" s="65"/>
      <c r="E36" s="15">
        <f ca="1">ROUND(E15*P34,0)</f>
        <v>958</v>
      </c>
      <c r="F36" s="15">
        <f ca="1">ROUND(F15*P34,0)</f>
        <v>983</v>
      </c>
      <c r="G36" s="15">
        <f ca="1">ROUND(G15*P34,0)</f>
        <v>1008</v>
      </c>
      <c r="H36" s="15">
        <f ca="1">ROUND(H15*P34,0)</f>
        <v>1033</v>
      </c>
      <c r="I36" s="15">
        <f ca="1">ROUND(I15*P34,0)</f>
        <v>1058</v>
      </c>
      <c r="J36" s="15">
        <f ca="1">ROUND(J15*P34,0)</f>
        <v>1083</v>
      </c>
      <c r="K36" s="15">
        <f ca="1">ROUND(K15*P34,0)</f>
        <v>1108</v>
      </c>
      <c r="L36" s="15">
        <f ca="1">ROUND(L15*P34,0)</f>
        <v>1133</v>
      </c>
      <c r="M36" s="15">
        <f ca="1">ROUND(M15*P34,0)</f>
        <v>1158</v>
      </c>
      <c r="N36" s="15">
        <f ca="1">ROUND(N15*P34,0)</f>
        <v>1183</v>
      </c>
      <c r="O36" s="15">
        <f ca="1">ROUND(O15*P34,0)</f>
        <v>1208</v>
      </c>
      <c r="P36" s="352"/>
    </row>
    <row r="37" spans="1:16" s="67" customFormat="1" ht="15.6" x14ac:dyDescent="0.3">
      <c r="A37" s="62"/>
      <c r="B37" s="62"/>
      <c r="C37" s="198" t="s">
        <v>642</v>
      </c>
      <c r="D37" s="65"/>
      <c r="E37" s="15">
        <f ca="1">ROUND(E19*P34,0)</f>
        <v>0</v>
      </c>
      <c r="F37" s="15">
        <f ca="1">ROUND(F19*P34,0)</f>
        <v>0</v>
      </c>
      <c r="G37" s="15">
        <f ca="1">ROUND(G19*P34,0)</f>
        <v>0</v>
      </c>
      <c r="H37" s="15">
        <f ca="1">ROUND(H19*P34,0)</f>
        <v>0</v>
      </c>
      <c r="I37" s="15">
        <f ca="1">ROUND(I19*P34,0)</f>
        <v>0</v>
      </c>
      <c r="J37" s="15">
        <f ca="1">ROUND(J19*P34,0)</f>
        <v>0</v>
      </c>
      <c r="K37" s="15">
        <f ca="1">ROUND(K19*P34,0)</f>
        <v>0</v>
      </c>
      <c r="L37" s="15">
        <f ca="1">ROUND(L19*P34,0)</f>
        <v>0</v>
      </c>
      <c r="M37" s="15">
        <f ca="1">ROUND(M19*P34,0)</f>
        <v>0</v>
      </c>
      <c r="N37" s="15">
        <f ca="1">ROUND(N19*P34,0)</f>
        <v>0</v>
      </c>
      <c r="O37" s="15">
        <f ca="1">ROUND(O19*P34,0)</f>
        <v>0</v>
      </c>
      <c r="P37" s="352"/>
    </row>
    <row r="38" spans="1:16" s="67" customFormat="1" ht="15.6" x14ac:dyDescent="0.3">
      <c r="A38" s="62"/>
      <c r="B38" s="62"/>
      <c r="C38" s="14" t="s">
        <v>440</v>
      </c>
      <c r="D38" s="65"/>
      <c r="E38" s="15">
        <f ca="1">SUM(E35:E37)</f>
        <v>958</v>
      </c>
      <c r="F38" s="15">
        <f t="shared" ref="F38:O38" ca="1" si="27">SUM(F35:F37)</f>
        <v>983</v>
      </c>
      <c r="G38" s="15">
        <f t="shared" ca="1" si="27"/>
        <v>1008</v>
      </c>
      <c r="H38" s="15">
        <f t="shared" ca="1" si="27"/>
        <v>1033</v>
      </c>
      <c r="I38" s="15">
        <f t="shared" ca="1" si="27"/>
        <v>1058</v>
      </c>
      <c r="J38" s="15">
        <f t="shared" ca="1" si="27"/>
        <v>1083</v>
      </c>
      <c r="K38" s="15">
        <f t="shared" ca="1" si="27"/>
        <v>1108</v>
      </c>
      <c r="L38" s="15">
        <f t="shared" ca="1" si="27"/>
        <v>1133</v>
      </c>
      <c r="M38" s="15">
        <f t="shared" ca="1" si="27"/>
        <v>1158</v>
      </c>
      <c r="N38" s="15">
        <f t="shared" ca="1" si="27"/>
        <v>1183</v>
      </c>
      <c r="O38" s="15">
        <f t="shared" ca="1" si="27"/>
        <v>1208</v>
      </c>
      <c r="P38" s="357">
        <f ca="1">IF(O38=0,IF(N38=0,IF(M38=0,IF(L38=0,IF(K38=0,IF(J38=0,IF(I38=0,IF(H38=0,IF(G38=0,IF(F38=0,E38,F38),G38),H38),I38),J38),K38),L38),M38),N38),O38)</f>
        <v>1208</v>
      </c>
    </row>
    <row r="39" spans="1:16" s="67" customFormat="1" ht="15.6" x14ac:dyDescent="0.3">
      <c r="A39" s="62"/>
      <c r="B39" s="62"/>
      <c r="C39" s="14" t="s">
        <v>441</v>
      </c>
      <c r="D39" s="65"/>
      <c r="E39" s="15"/>
      <c r="F39" s="15"/>
      <c r="G39" s="15"/>
      <c r="H39" s="15"/>
      <c r="I39" s="15"/>
      <c r="J39" s="15"/>
      <c r="K39" s="15"/>
      <c r="L39" s="15"/>
      <c r="M39" s="15"/>
      <c r="N39" s="15"/>
      <c r="O39" s="15"/>
      <c r="P39" s="78">
        <f>IF(O39=0,IF(N39=0,IF(M39=0,IF(L39=0,IF(K39=0,IF(J39=0,IF(I39=0,IF(H39=0,IF(G39=0,IF(F39=0,E39,F39),G39),H39),I39),J39),K39),L39),M39),N39),O39)</f>
        <v>0</v>
      </c>
    </row>
    <row r="40" spans="1:16" s="67" customFormat="1" ht="15.6" x14ac:dyDescent="0.3">
      <c r="A40" s="62"/>
      <c r="B40" s="62"/>
      <c r="C40" s="59" t="s">
        <v>442</v>
      </c>
      <c r="D40" s="65"/>
      <c r="E40" s="355" t="str">
        <f ca="1">IFERROR(E38/E39,"")</f>
        <v/>
      </c>
      <c r="F40" s="355" t="str">
        <f t="shared" ref="F40" ca="1" si="28">IFERROR(F38/F39,"")</f>
        <v/>
      </c>
      <c r="G40" s="355" t="str">
        <f t="shared" ref="G40" ca="1" si="29">IFERROR(G38/G39,"")</f>
        <v/>
      </c>
      <c r="H40" s="355" t="str">
        <f t="shared" ref="H40" ca="1" si="30">IFERROR(H38/H39,"")</f>
        <v/>
      </c>
      <c r="I40" s="355" t="str">
        <f t="shared" ref="I40" ca="1" si="31">IFERROR(I38/I39,"")</f>
        <v/>
      </c>
      <c r="J40" s="355" t="str">
        <f t="shared" ref="J40" ca="1" si="32">IFERROR(J38/J39,"")</f>
        <v/>
      </c>
      <c r="K40" s="355" t="str">
        <f t="shared" ref="K40" ca="1" si="33">IFERROR(K38/K39,"")</f>
        <v/>
      </c>
      <c r="L40" s="355" t="str">
        <f t="shared" ref="L40" ca="1" si="34">IFERROR(L38/L39,"")</f>
        <v/>
      </c>
      <c r="M40" s="355" t="str">
        <f t="shared" ref="M40" ca="1" si="35">IFERROR(M38/M39,"")</f>
        <v/>
      </c>
      <c r="N40" s="355" t="str">
        <f t="shared" ref="N40" ca="1" si="36">IFERROR(N38/N39,"")</f>
        <v/>
      </c>
      <c r="O40" s="356" t="str">
        <f t="shared" ref="O40" ca="1" si="37">IFERROR(O38/O39,"")</f>
        <v/>
      </c>
      <c r="P40" s="111" t="str">
        <f ca="1">IFERROR(P38/P39,"")</f>
        <v/>
      </c>
    </row>
    <row r="41" spans="1:16" s="67" customFormat="1" ht="15.6" x14ac:dyDescent="0.3">
      <c r="A41" s="62"/>
      <c r="B41" s="62"/>
      <c r="C41" s="13" t="s">
        <v>443</v>
      </c>
      <c r="D41" s="65"/>
      <c r="E41" s="150"/>
      <c r="F41" s="150"/>
      <c r="G41" s="150"/>
      <c r="H41" s="150"/>
      <c r="I41" s="150"/>
      <c r="J41" s="150"/>
      <c r="K41" s="150"/>
      <c r="L41" s="150"/>
      <c r="M41" s="150"/>
      <c r="N41" s="150"/>
      <c r="O41" s="150"/>
      <c r="P41" s="352">
        <f>'B. Implementation Plan'!E39</f>
        <v>0.5</v>
      </c>
    </row>
    <row r="42" spans="1:16" s="67" customFormat="1" ht="15.6" x14ac:dyDescent="0.3">
      <c r="A42" s="62"/>
      <c r="B42" s="62"/>
      <c r="C42" s="198" t="s">
        <v>643</v>
      </c>
      <c r="D42" s="65"/>
      <c r="E42" s="15">
        <f ca="1">E11-E28-E35</f>
        <v>0</v>
      </c>
      <c r="F42" s="15">
        <f t="shared" ref="F42:O42" ca="1" si="38">F11-F28-F35</f>
        <v>0</v>
      </c>
      <c r="G42" s="15">
        <f t="shared" ca="1" si="38"/>
        <v>0</v>
      </c>
      <c r="H42" s="15">
        <f t="shared" ca="1" si="38"/>
        <v>0</v>
      </c>
      <c r="I42" s="15">
        <f t="shared" ca="1" si="38"/>
        <v>0</v>
      </c>
      <c r="J42" s="15">
        <f t="shared" ca="1" si="38"/>
        <v>0</v>
      </c>
      <c r="K42" s="15">
        <f t="shared" ca="1" si="38"/>
        <v>0</v>
      </c>
      <c r="L42" s="15">
        <f t="shared" ca="1" si="38"/>
        <v>0</v>
      </c>
      <c r="M42" s="15">
        <f t="shared" ca="1" si="38"/>
        <v>0</v>
      </c>
      <c r="N42" s="15">
        <f t="shared" ca="1" si="38"/>
        <v>0</v>
      </c>
      <c r="O42" s="15">
        <f t="shared" ca="1" si="38"/>
        <v>0</v>
      </c>
      <c r="P42" s="352"/>
    </row>
    <row r="43" spans="1:16" s="67" customFormat="1" ht="15.6" x14ac:dyDescent="0.3">
      <c r="A43" s="62"/>
      <c r="B43" s="62"/>
      <c r="C43" s="198" t="s">
        <v>644</v>
      </c>
      <c r="D43" s="65"/>
      <c r="E43" s="15">
        <f ca="1">E15-E29-E36</f>
        <v>9574</v>
      </c>
      <c r="F43" s="15">
        <f t="shared" ref="F43:O43" ca="1" si="39">F15-F29-F36</f>
        <v>9824</v>
      </c>
      <c r="G43" s="15">
        <f t="shared" ca="1" si="39"/>
        <v>10074</v>
      </c>
      <c r="H43" s="15">
        <f t="shared" ca="1" si="39"/>
        <v>10324</v>
      </c>
      <c r="I43" s="15">
        <f t="shared" ca="1" si="39"/>
        <v>10574</v>
      </c>
      <c r="J43" s="15">
        <f t="shared" ca="1" si="39"/>
        <v>10824</v>
      </c>
      <c r="K43" s="15">
        <f t="shared" ca="1" si="39"/>
        <v>11074</v>
      </c>
      <c r="L43" s="15">
        <f t="shared" ca="1" si="39"/>
        <v>11324</v>
      </c>
      <c r="M43" s="15">
        <f t="shared" ca="1" si="39"/>
        <v>11574</v>
      </c>
      <c r="N43" s="15">
        <f t="shared" ca="1" si="39"/>
        <v>11824</v>
      </c>
      <c r="O43" s="15">
        <f t="shared" ca="1" si="39"/>
        <v>12074</v>
      </c>
      <c r="P43" s="352"/>
    </row>
    <row r="44" spans="1:16" s="67" customFormat="1" ht="15.6" x14ac:dyDescent="0.3">
      <c r="A44" s="62"/>
      <c r="B44" s="62"/>
      <c r="C44" s="198" t="s">
        <v>645</v>
      </c>
      <c r="D44" s="65"/>
      <c r="E44" s="15">
        <f ca="1">E19-E30-E37</f>
        <v>0</v>
      </c>
      <c r="F44" s="15">
        <f t="shared" ref="F44:O44" ca="1" si="40">F19-F30-F37</f>
        <v>0</v>
      </c>
      <c r="G44" s="15">
        <f t="shared" ca="1" si="40"/>
        <v>0</v>
      </c>
      <c r="H44" s="15">
        <f t="shared" ca="1" si="40"/>
        <v>0</v>
      </c>
      <c r="I44" s="15">
        <f t="shared" ca="1" si="40"/>
        <v>0</v>
      </c>
      <c r="J44" s="15">
        <f t="shared" ca="1" si="40"/>
        <v>0</v>
      </c>
      <c r="K44" s="15">
        <f t="shared" ca="1" si="40"/>
        <v>0</v>
      </c>
      <c r="L44" s="15">
        <f t="shared" ca="1" si="40"/>
        <v>0</v>
      </c>
      <c r="M44" s="15">
        <f t="shared" ca="1" si="40"/>
        <v>0</v>
      </c>
      <c r="N44" s="15">
        <f t="shared" ca="1" si="40"/>
        <v>0</v>
      </c>
      <c r="O44" s="15">
        <f t="shared" ca="1" si="40"/>
        <v>0</v>
      </c>
      <c r="P44" s="352"/>
    </row>
    <row r="45" spans="1:16" s="67" customFormat="1" ht="15.6" x14ac:dyDescent="0.3">
      <c r="A45" s="62"/>
      <c r="B45" s="62"/>
      <c r="C45" s="14" t="s">
        <v>445</v>
      </c>
      <c r="D45" s="65"/>
      <c r="E45" s="15">
        <f ca="1">SUM(E42:E44)</f>
        <v>9574</v>
      </c>
      <c r="F45" s="15">
        <f t="shared" ref="F45:O45" ca="1" si="41">SUM(F42:F44)</f>
        <v>9824</v>
      </c>
      <c r="G45" s="15">
        <f t="shared" ca="1" si="41"/>
        <v>10074</v>
      </c>
      <c r="H45" s="15">
        <f t="shared" ca="1" si="41"/>
        <v>10324</v>
      </c>
      <c r="I45" s="15">
        <f t="shared" ca="1" si="41"/>
        <v>10574</v>
      </c>
      <c r="J45" s="15">
        <f t="shared" ca="1" si="41"/>
        <v>10824</v>
      </c>
      <c r="K45" s="15">
        <f t="shared" ca="1" si="41"/>
        <v>11074</v>
      </c>
      <c r="L45" s="15">
        <f t="shared" ca="1" si="41"/>
        <v>11324</v>
      </c>
      <c r="M45" s="15">
        <f t="shared" ca="1" si="41"/>
        <v>11574</v>
      </c>
      <c r="N45" s="15">
        <f t="shared" ca="1" si="41"/>
        <v>11824</v>
      </c>
      <c r="O45" s="15">
        <f t="shared" ca="1" si="41"/>
        <v>12074</v>
      </c>
      <c r="P45" s="357">
        <f ca="1">IF(O45=0,IF(N45=0,IF(M45=0,IF(L45=0,IF(K45=0,IF(J45=0,IF(I45=0,IF(H45=0,IF(G45=0,IF(F45=0,E45,F45),G45),H45),I45),J45),K45),L45),M45),N45),O45)</f>
        <v>12074</v>
      </c>
    </row>
    <row r="46" spans="1:16" s="67" customFormat="1" ht="15.6" x14ac:dyDescent="0.3">
      <c r="A46" s="62"/>
      <c r="B46" s="62"/>
      <c r="C46" s="14" t="s">
        <v>444</v>
      </c>
      <c r="D46" s="65"/>
      <c r="E46" s="15"/>
      <c r="F46" s="15"/>
      <c r="G46" s="15"/>
      <c r="H46" s="15"/>
      <c r="I46" s="15"/>
      <c r="J46" s="15"/>
      <c r="K46" s="15"/>
      <c r="L46" s="15"/>
      <c r="M46" s="15"/>
      <c r="N46" s="15"/>
      <c r="O46" s="15"/>
      <c r="P46" s="78">
        <f>IF(O46=0,IF(N46=0,IF(M46=0,IF(L46=0,IF(K46=0,IF(J46=0,IF(I46=0,IF(H46=0,IF(G46=0,IF(F46=0,E46,F46),G46),H46),I46),J46),K46),L46),M46),N46),O46)</f>
        <v>0</v>
      </c>
    </row>
    <row r="47" spans="1:16" s="67" customFormat="1" ht="15.6" x14ac:dyDescent="0.3">
      <c r="A47" s="62"/>
      <c r="B47" s="62"/>
      <c r="C47" s="59" t="s">
        <v>442</v>
      </c>
      <c r="D47" s="65"/>
      <c r="E47" s="355" t="str">
        <f ca="1">IFERROR(E45/E46,"")</f>
        <v/>
      </c>
      <c r="F47" s="355" t="str">
        <f t="shared" ref="F47" ca="1" si="42">IFERROR(F45/F46,"")</f>
        <v/>
      </c>
      <c r="G47" s="355" t="str">
        <f t="shared" ref="G47" ca="1" si="43">IFERROR(G45/G46,"")</f>
        <v/>
      </c>
      <c r="H47" s="355" t="str">
        <f t="shared" ref="H47" ca="1" si="44">IFERROR(H45/H46,"")</f>
        <v/>
      </c>
      <c r="I47" s="355" t="str">
        <f t="shared" ref="I47" ca="1" si="45">IFERROR(I45/I46,"")</f>
        <v/>
      </c>
      <c r="J47" s="355" t="str">
        <f t="shared" ref="J47" ca="1" si="46">IFERROR(J45/J46,"")</f>
        <v/>
      </c>
      <c r="K47" s="355" t="str">
        <f t="shared" ref="K47" ca="1" si="47">IFERROR(K45/K46,"")</f>
        <v/>
      </c>
      <c r="L47" s="355" t="str">
        <f t="shared" ref="L47" ca="1" si="48">IFERROR(L45/L46,"")</f>
        <v/>
      </c>
      <c r="M47" s="355" t="str">
        <f t="shared" ref="M47" ca="1" si="49">IFERROR(M45/M46,"")</f>
        <v/>
      </c>
      <c r="N47" s="355" t="str">
        <f t="shared" ref="N47" ca="1" si="50">IFERROR(N45/N46,"")</f>
        <v/>
      </c>
      <c r="O47" s="356" t="str">
        <f t="shared" ref="O47" ca="1" si="51">IFERROR(O45/O46,"")</f>
        <v/>
      </c>
      <c r="P47" s="111" t="str">
        <f ca="1">IFERROR(P45/P46,"")</f>
        <v/>
      </c>
    </row>
    <row r="48" spans="1:16" s="67" customFormat="1" ht="15.6" x14ac:dyDescent="0.3">
      <c r="A48" s="62"/>
      <c r="B48" s="62"/>
      <c r="C48" s="13" t="s">
        <v>446</v>
      </c>
      <c r="D48" s="65"/>
      <c r="E48" s="150"/>
      <c r="F48" s="150"/>
      <c r="G48" s="150"/>
      <c r="H48" s="150"/>
      <c r="I48" s="150"/>
      <c r="J48" s="150"/>
      <c r="K48" s="150"/>
      <c r="L48" s="150"/>
      <c r="M48" s="150"/>
      <c r="N48" s="150"/>
      <c r="O48" s="150"/>
      <c r="P48" s="352">
        <f>'B. Implementation Plan'!E41</f>
        <v>0.5</v>
      </c>
    </row>
    <row r="49" spans="1:16" s="67" customFormat="1" ht="15.6" x14ac:dyDescent="0.3">
      <c r="A49" s="62"/>
      <c r="B49" s="62"/>
      <c r="C49" s="198" t="s">
        <v>646</v>
      </c>
      <c r="D49" s="65"/>
      <c r="E49" s="15">
        <f ca="1">ROUND(E11*P48,0)</f>
        <v>0</v>
      </c>
      <c r="F49" s="15">
        <f ca="1">ROUND(F11*P48,0)</f>
        <v>0</v>
      </c>
      <c r="G49" s="15">
        <f ca="1">ROUND(G11*P48,0)</f>
        <v>0</v>
      </c>
      <c r="H49" s="15">
        <f ca="1">ROUND(H11*P48,0)</f>
        <v>0</v>
      </c>
      <c r="I49" s="15">
        <f ca="1">ROUND(I11*P48,0)</f>
        <v>0</v>
      </c>
      <c r="J49" s="15">
        <f ca="1">ROUND(J11*P48,0)</f>
        <v>0</v>
      </c>
      <c r="K49" s="15">
        <f ca="1">ROUND(K11*P48,0)</f>
        <v>0</v>
      </c>
      <c r="L49" s="15">
        <f ca="1">ROUND(L11*P48,0)</f>
        <v>0</v>
      </c>
      <c r="M49" s="15">
        <f ca="1">ROUND(M11*P48,0)</f>
        <v>0</v>
      </c>
      <c r="N49" s="15">
        <f ca="1">ROUND(N11*P48,0)</f>
        <v>0</v>
      </c>
      <c r="O49" s="15">
        <f ca="1">ROUND(O11*P48,0)</f>
        <v>0</v>
      </c>
      <c r="P49" s="352"/>
    </row>
    <row r="50" spans="1:16" s="67" customFormat="1" ht="15.6" x14ac:dyDescent="0.3">
      <c r="A50" s="62"/>
      <c r="B50" s="62"/>
      <c r="C50" s="198" t="s">
        <v>647</v>
      </c>
      <c r="D50" s="65"/>
      <c r="E50" s="15">
        <f ca="1">ROUND(E15*P48,0)</f>
        <v>9575</v>
      </c>
      <c r="F50" s="15">
        <f ca="1">ROUND(F15*P48,0)</f>
        <v>9825</v>
      </c>
      <c r="G50" s="15">
        <f ca="1">ROUND(G15*P48,0)</f>
        <v>10075</v>
      </c>
      <c r="H50" s="15">
        <f ca="1">ROUND(H15*P48,0)</f>
        <v>10325</v>
      </c>
      <c r="I50" s="15">
        <f ca="1">ROUND(I15*P48,0)</f>
        <v>10575</v>
      </c>
      <c r="J50" s="15">
        <f ca="1">ROUND(J15*P48,0)</f>
        <v>10825</v>
      </c>
      <c r="K50" s="15">
        <f ca="1">ROUND(K15*P48,0)</f>
        <v>11075</v>
      </c>
      <c r="L50" s="15">
        <f ca="1">ROUND(L15*P48,0)</f>
        <v>11325</v>
      </c>
      <c r="M50" s="15">
        <f ca="1">ROUND(M15*P48,0)</f>
        <v>11575</v>
      </c>
      <c r="N50" s="15">
        <f ca="1">ROUND(N15*P48,0)</f>
        <v>11825</v>
      </c>
      <c r="O50" s="15">
        <f ca="1">ROUND(O15*P48,0)</f>
        <v>12075</v>
      </c>
      <c r="P50" s="352"/>
    </row>
    <row r="51" spans="1:16" s="67" customFormat="1" ht="15.6" x14ac:dyDescent="0.3">
      <c r="A51" s="62"/>
      <c r="B51" s="62"/>
      <c r="C51" s="198" t="s">
        <v>648</v>
      </c>
      <c r="D51" s="65"/>
      <c r="E51" s="15">
        <f ca="1">ROUND(E19*P48,0)</f>
        <v>0</v>
      </c>
      <c r="F51" s="15">
        <f ca="1">ROUND(F19*P48,0)</f>
        <v>0</v>
      </c>
      <c r="G51" s="15">
        <f ca="1">ROUND(G19*P48,0)</f>
        <v>0</v>
      </c>
      <c r="H51" s="15">
        <f ca="1">ROUND(H19*P48,0)</f>
        <v>0</v>
      </c>
      <c r="I51" s="15">
        <f ca="1">ROUND(I19*P48,0)</f>
        <v>0</v>
      </c>
      <c r="J51" s="15">
        <f ca="1">ROUND(J19*P48,0)</f>
        <v>0</v>
      </c>
      <c r="K51" s="15">
        <f ca="1">ROUND(K19*P48,0)</f>
        <v>0</v>
      </c>
      <c r="L51" s="15">
        <f ca="1">ROUND(L19*P48,0)</f>
        <v>0</v>
      </c>
      <c r="M51" s="15">
        <f ca="1">ROUND(M19*P48,0)</f>
        <v>0</v>
      </c>
      <c r="N51" s="15">
        <f ca="1">ROUND(N19*P48,0)</f>
        <v>0</v>
      </c>
      <c r="O51" s="15">
        <f ca="1">ROUND(O19*P48,0)</f>
        <v>0</v>
      </c>
      <c r="P51" s="352"/>
    </row>
    <row r="52" spans="1:16" s="67" customFormat="1" ht="15.6" x14ac:dyDescent="0.3">
      <c r="A52" s="62"/>
      <c r="B52" s="62"/>
      <c r="C52" s="14" t="s">
        <v>447</v>
      </c>
      <c r="D52" s="65"/>
      <c r="E52" s="15">
        <f ca="1">SUM(E49:E51)</f>
        <v>9575</v>
      </c>
      <c r="F52" s="15">
        <f t="shared" ref="F52:O52" ca="1" si="52">SUM(F49:F51)</f>
        <v>9825</v>
      </c>
      <c r="G52" s="15">
        <f t="shared" ca="1" si="52"/>
        <v>10075</v>
      </c>
      <c r="H52" s="15">
        <f t="shared" ca="1" si="52"/>
        <v>10325</v>
      </c>
      <c r="I52" s="15">
        <f t="shared" ca="1" si="52"/>
        <v>10575</v>
      </c>
      <c r="J52" s="15">
        <f t="shared" ca="1" si="52"/>
        <v>10825</v>
      </c>
      <c r="K52" s="15">
        <f t="shared" ca="1" si="52"/>
        <v>11075</v>
      </c>
      <c r="L52" s="15">
        <f t="shared" ca="1" si="52"/>
        <v>11325</v>
      </c>
      <c r="M52" s="15">
        <f t="shared" ca="1" si="52"/>
        <v>11575</v>
      </c>
      <c r="N52" s="15">
        <f t="shared" ca="1" si="52"/>
        <v>11825</v>
      </c>
      <c r="O52" s="15">
        <f t="shared" ca="1" si="52"/>
        <v>12075</v>
      </c>
      <c r="P52" s="357">
        <f ca="1">IF(O52=0,IF(N52=0,IF(M52=0,IF(L52=0,IF(K52=0,IF(J52=0,IF(I52=0,IF(H52=0,IF(G52=0,IF(F52=0,E52,F52),G52),H52),I52),J52),K52),L52),M52),N52),O52)</f>
        <v>12075</v>
      </c>
    </row>
    <row r="53" spans="1:16" s="67" customFormat="1" ht="15.6" x14ac:dyDescent="0.3">
      <c r="A53" s="62"/>
      <c r="B53" s="62"/>
      <c r="C53" s="14" t="s">
        <v>448</v>
      </c>
      <c r="D53" s="65"/>
      <c r="E53" s="15"/>
      <c r="F53" s="15"/>
      <c r="G53" s="15"/>
      <c r="H53" s="15"/>
      <c r="I53" s="15"/>
      <c r="J53" s="15"/>
      <c r="K53" s="15"/>
      <c r="L53" s="15"/>
      <c r="M53" s="15"/>
      <c r="N53" s="15"/>
      <c r="O53" s="15"/>
      <c r="P53" s="78">
        <f>IF(O53=0,IF(N53=0,IF(M53=0,IF(L53=0,IF(K53=0,IF(J53=0,IF(I53=0,IF(H53=0,IF(G53=0,IF(F53=0,E53,F53),G53),H53),I53),J53),K53),L53),M53),N53),O53)</f>
        <v>0</v>
      </c>
    </row>
    <row r="54" spans="1:16" s="67" customFormat="1" ht="16.2" thickBot="1" x14ac:dyDescent="0.35">
      <c r="A54" s="62"/>
      <c r="B54" s="62"/>
      <c r="C54" s="59" t="s">
        <v>449</v>
      </c>
      <c r="D54" s="65"/>
      <c r="E54" s="355" t="str">
        <f ca="1">IFERROR(E52/E53,"")</f>
        <v/>
      </c>
      <c r="F54" s="355" t="str">
        <f t="shared" ref="F54" ca="1" si="53">IFERROR(F52/F53,"")</f>
        <v/>
      </c>
      <c r="G54" s="355" t="str">
        <f t="shared" ref="G54" ca="1" si="54">IFERROR(G52/G53,"")</f>
        <v/>
      </c>
      <c r="H54" s="355" t="str">
        <f t="shared" ref="H54" ca="1" si="55">IFERROR(H52/H53,"")</f>
        <v/>
      </c>
      <c r="I54" s="355" t="str">
        <f t="shared" ref="I54" ca="1" si="56">IFERROR(I52/I53,"")</f>
        <v/>
      </c>
      <c r="J54" s="355" t="str">
        <f t="shared" ref="J54" ca="1" si="57">IFERROR(J52/J53,"")</f>
        <v/>
      </c>
      <c r="K54" s="355" t="str">
        <f t="shared" ref="K54" ca="1" si="58">IFERROR(K52/K53,"")</f>
        <v/>
      </c>
      <c r="L54" s="355" t="str">
        <f t="shared" ref="L54" ca="1" si="59">IFERROR(L52/L53,"")</f>
        <v/>
      </c>
      <c r="M54" s="355" t="str">
        <f t="shared" ref="M54" ca="1" si="60">IFERROR(M52/M53,"")</f>
        <v/>
      </c>
      <c r="N54" s="355" t="str">
        <f t="shared" ref="N54" ca="1" si="61">IFERROR(N52/N53,"")</f>
        <v/>
      </c>
      <c r="O54" s="356" t="str">
        <f t="shared" ref="O54" ca="1" si="62">IFERROR(O52/O53,"")</f>
        <v/>
      </c>
      <c r="P54" s="190" t="str">
        <f ca="1">IFERROR(P52/P53,"")</f>
        <v/>
      </c>
    </row>
    <row r="55" spans="1:16" x14ac:dyDescent="0.3">
      <c r="A55" s="1"/>
      <c r="B55" s="1"/>
      <c r="C55" s="21"/>
      <c r="D55" s="19"/>
      <c r="E55" s="49"/>
      <c r="F55" s="30"/>
      <c r="G55" s="19"/>
      <c r="H55" s="19"/>
      <c r="I55" s="19"/>
      <c r="J55" s="19"/>
      <c r="K55" s="19"/>
      <c r="L55" s="19"/>
      <c r="M55" s="19"/>
      <c r="N55" s="19"/>
      <c r="O55" s="19"/>
      <c r="P55" s="30"/>
    </row>
    <row r="56" spans="1:16" ht="15" thickBot="1" x14ac:dyDescent="0.35">
      <c r="P56"/>
    </row>
    <row r="57" spans="1:16" s="67" customFormat="1" ht="15.6" x14ac:dyDescent="0.3">
      <c r="A57" s="62"/>
      <c r="B57" s="62" t="s">
        <v>310</v>
      </c>
      <c r="D57" s="65"/>
      <c r="E57" s="66">
        <v>0</v>
      </c>
      <c r="F57" s="66">
        <v>1</v>
      </c>
      <c r="G57" s="66">
        <v>2</v>
      </c>
      <c r="H57" s="66">
        <v>3</v>
      </c>
      <c r="I57" s="66">
        <v>4</v>
      </c>
      <c r="J57" s="66">
        <v>5</v>
      </c>
      <c r="K57" s="66">
        <v>6</v>
      </c>
      <c r="L57" s="66">
        <v>7</v>
      </c>
      <c r="M57" s="66">
        <v>8</v>
      </c>
      <c r="N57" s="66">
        <v>9</v>
      </c>
      <c r="O57" s="213">
        <v>10</v>
      </c>
      <c r="P57" s="214" t="s">
        <v>2</v>
      </c>
    </row>
    <row r="58" spans="1:16" x14ac:dyDescent="0.3">
      <c r="A58" s="1"/>
      <c r="B58" s="1"/>
      <c r="C58" s="60" t="s">
        <v>109</v>
      </c>
      <c r="D58" s="68"/>
      <c r="E58" s="15">
        <f ca="1">IFERROR(ROUNDUP(E8/'B. Implementation Plan'!E85,0),0)</f>
        <v>0</v>
      </c>
      <c r="F58" s="15">
        <f ca="1">IFERROR(ROUNDUP(F8/'B. Implementation Plan'!E85,0),0)</f>
        <v>0</v>
      </c>
      <c r="G58" s="15">
        <f ca="1">IFERROR(ROUNDUP(G8/'B. Implementation Plan'!E85,0),0)</f>
        <v>0</v>
      </c>
      <c r="H58" s="15">
        <f ca="1">IFERROR(ROUNDUP(H8/'B. Implementation Plan'!E85,0),0)</f>
        <v>0</v>
      </c>
      <c r="I58" s="15">
        <f ca="1">IFERROR(ROUNDUP(I8/'B. Implementation Plan'!E85,0),0)</f>
        <v>0</v>
      </c>
      <c r="J58" s="15">
        <f ca="1">IFERROR(ROUNDUP(J8/'B. Implementation Plan'!E85,0),0)</f>
        <v>0</v>
      </c>
      <c r="K58" s="15">
        <f ca="1">IFERROR(ROUNDUP(K8/'B. Implementation Plan'!E85,0),0)</f>
        <v>0</v>
      </c>
      <c r="L58" s="15">
        <f ca="1">IFERROR(ROUNDUP(L8/'B. Implementation Plan'!E85,0),0)</f>
        <v>0</v>
      </c>
      <c r="M58" s="15">
        <f ca="1">IFERROR(ROUNDUP(M8/'B. Implementation Plan'!E85,0),0)</f>
        <v>0</v>
      </c>
      <c r="N58" s="15">
        <f ca="1">IFERROR(ROUNDUP(N8/'B. Implementation Plan'!E85,0),0)</f>
        <v>0</v>
      </c>
      <c r="O58" s="15">
        <f ca="1">IFERROR(ROUNDUP(O8/'B. Implementation Plan'!E85,0),0)</f>
        <v>0</v>
      </c>
      <c r="P58" s="78">
        <f ca="1">IF(O58=0,IF(N58=0,IF(M58=0,IF(L58=0,IF(K58=0,IF(J58=0,IF(I58=0,IF(H58=0,IF(G58=0,IF(F58=0,E58,F58),G58),H58),I58),J58),K58),L58),M58),N58),O58)</f>
        <v>0</v>
      </c>
    </row>
    <row r="59" spans="1:16" x14ac:dyDescent="0.3">
      <c r="A59" s="1"/>
      <c r="B59" s="1"/>
      <c r="C59" s="60" t="s">
        <v>110</v>
      </c>
      <c r="D59" s="68"/>
      <c r="E59" s="15">
        <f ca="1">IFERROR(ROUNDUP(E9/'B. Implementation Plan'!E85,0),0)</f>
        <v>0</v>
      </c>
      <c r="F59" s="15">
        <f ca="1">IFERROR(ROUNDUP(F9/'B. Implementation Plan'!E85,0),0)</f>
        <v>0</v>
      </c>
      <c r="G59" s="15">
        <f ca="1">IFERROR(ROUNDUP(G9/'B. Implementation Plan'!E85,0),0)</f>
        <v>0</v>
      </c>
      <c r="H59" s="15">
        <f ca="1">IFERROR(ROUNDUP(H9/'B. Implementation Plan'!E85,0),0)</f>
        <v>0</v>
      </c>
      <c r="I59" s="15">
        <f ca="1">IFERROR(ROUNDUP(I9/'B. Implementation Plan'!E85,0),0)</f>
        <v>0</v>
      </c>
      <c r="J59" s="15">
        <f ca="1">IFERROR(ROUNDUP(J9/'B. Implementation Plan'!E85,0),0)</f>
        <v>0</v>
      </c>
      <c r="K59" s="15">
        <f ca="1">IFERROR(ROUNDUP(K9/'B. Implementation Plan'!E85,0),0)</f>
        <v>0</v>
      </c>
      <c r="L59" s="15">
        <f ca="1">IFERROR(ROUNDUP(L9/'B. Implementation Plan'!E85,0),0)</f>
        <v>0</v>
      </c>
      <c r="M59" s="15">
        <f ca="1">IFERROR(ROUNDUP(M9/'B. Implementation Plan'!E85,0),0)</f>
        <v>0</v>
      </c>
      <c r="N59" s="15">
        <f ca="1">IFERROR(ROUNDUP(N9/'B. Implementation Plan'!E85,0),0)</f>
        <v>0</v>
      </c>
      <c r="O59" s="15">
        <f ca="1">IFERROR(ROUNDUP(O9/'B. Implementation Plan'!E85,0),0)</f>
        <v>0</v>
      </c>
      <c r="P59" s="78">
        <f t="shared" ref="P59:P61" ca="1" si="63">IF(O59=0,IF(N59=0,IF(M59=0,IF(L59=0,IF(K59=0,IF(J59=0,IF(I59=0,IF(H59=0,IF(G59=0,IF(F59=0,E59,F59),G59),H59),I59),J59),K59),L59),M59),N59),O59)</f>
        <v>0</v>
      </c>
    </row>
    <row r="60" spans="1:16" x14ac:dyDescent="0.3">
      <c r="A60" s="1"/>
      <c r="B60" s="1"/>
      <c r="C60" s="60" t="s">
        <v>111</v>
      </c>
      <c r="D60" s="68"/>
      <c r="E60" s="15">
        <f ca="1">IFERROR(ROUNDUP(E10/'B. Implementation Plan'!E85,0),0)</f>
        <v>0</v>
      </c>
      <c r="F60" s="15">
        <f ca="1">IFERROR(ROUNDUP(F10/'B. Implementation Plan'!E85,0),0)</f>
        <v>0</v>
      </c>
      <c r="G60" s="15">
        <f ca="1">IFERROR(ROUNDUP(G10/'B. Implementation Plan'!E85,0),0)</f>
        <v>0</v>
      </c>
      <c r="H60" s="15">
        <f ca="1">IFERROR(ROUNDUP(H10/'B. Implementation Plan'!E85,0),0)</f>
        <v>0</v>
      </c>
      <c r="I60" s="15">
        <f ca="1">IFERROR(ROUNDUP(I10/'B. Implementation Plan'!E85,0),0)</f>
        <v>0</v>
      </c>
      <c r="J60" s="15">
        <f ca="1">IFERROR(ROUNDUP(J10/'B. Implementation Plan'!E85,0),0)</f>
        <v>0</v>
      </c>
      <c r="K60" s="15">
        <f ca="1">IFERROR(ROUNDUP(K10/'B. Implementation Plan'!E85,0),0)</f>
        <v>0</v>
      </c>
      <c r="L60" s="15">
        <f ca="1">IFERROR(ROUNDUP(L10/'B. Implementation Plan'!E85,0),0)</f>
        <v>0</v>
      </c>
      <c r="M60" s="15">
        <f ca="1">IFERROR(ROUNDUP(M10/'B. Implementation Plan'!E85,0),0)</f>
        <v>0</v>
      </c>
      <c r="N60" s="15">
        <f ca="1">IFERROR(ROUNDUP(N10/'B. Implementation Plan'!E85,0),0)</f>
        <v>0</v>
      </c>
      <c r="O60" s="15">
        <f ca="1">IFERROR(ROUNDUP(O10/'B. Implementation Plan'!E85,0),0)</f>
        <v>0</v>
      </c>
      <c r="P60" s="78">
        <f t="shared" ca="1" si="63"/>
        <v>0</v>
      </c>
    </row>
    <row r="61" spans="1:16" x14ac:dyDescent="0.3">
      <c r="A61" s="1"/>
      <c r="B61" s="1"/>
      <c r="C61" s="64" t="s">
        <v>85</v>
      </c>
      <c r="D61" s="68"/>
      <c r="E61" s="324">
        <f ca="1">SUM(E58:E60)</f>
        <v>0</v>
      </c>
      <c r="F61" s="324">
        <f t="shared" ref="F61:O61" ca="1" si="64">SUM(F58:F60)</f>
        <v>0</v>
      </c>
      <c r="G61" s="324">
        <f t="shared" ca="1" si="64"/>
        <v>0</v>
      </c>
      <c r="H61" s="324">
        <f t="shared" ca="1" si="64"/>
        <v>0</v>
      </c>
      <c r="I61" s="324">
        <f t="shared" ca="1" si="64"/>
        <v>0</v>
      </c>
      <c r="J61" s="324">
        <f t="shared" ca="1" si="64"/>
        <v>0</v>
      </c>
      <c r="K61" s="324">
        <f t="shared" ca="1" si="64"/>
        <v>0</v>
      </c>
      <c r="L61" s="324">
        <f t="shared" ca="1" si="64"/>
        <v>0</v>
      </c>
      <c r="M61" s="324">
        <f t="shared" ca="1" si="64"/>
        <v>0</v>
      </c>
      <c r="N61" s="324">
        <f t="shared" ca="1" si="64"/>
        <v>0</v>
      </c>
      <c r="O61" s="324">
        <f t="shared" ca="1" si="64"/>
        <v>0</v>
      </c>
      <c r="P61" s="325">
        <f t="shared" ca="1" si="63"/>
        <v>0</v>
      </c>
    </row>
    <row r="62" spans="1:16" x14ac:dyDescent="0.3">
      <c r="A62" s="1"/>
      <c r="B62" s="1"/>
      <c r="C62" s="60" t="s">
        <v>112</v>
      </c>
      <c r="D62" s="68"/>
      <c r="E62" s="15">
        <f ca="1">IFERROR(ROUNDUP(E12/'B. Implementation Plan'!E85,0),0)</f>
        <v>1157</v>
      </c>
      <c r="F62" s="15">
        <f ca="1">IFERROR(ROUNDUP(F12/'B. Implementation Plan'!E85,0),0)</f>
        <v>1188</v>
      </c>
      <c r="G62" s="15">
        <f ca="1">IFERROR(ROUNDUP(G12/'B. Implementation Plan'!E85,0),0)</f>
        <v>1219</v>
      </c>
      <c r="H62" s="15">
        <f ca="1">IFERROR(ROUNDUP(H12/'B. Implementation Plan'!E85,0),0)</f>
        <v>1250</v>
      </c>
      <c r="I62" s="15">
        <f ca="1">IFERROR(ROUNDUP(I12/'B. Implementation Plan'!E85,0),0)</f>
        <v>1282</v>
      </c>
      <c r="J62" s="15">
        <f ca="1">IFERROR(ROUNDUP(J12/'B. Implementation Plan'!E85,0),0)</f>
        <v>1313</v>
      </c>
      <c r="K62" s="15">
        <f ca="1">IFERROR(ROUNDUP(K12/'B. Implementation Plan'!E85,0),0)</f>
        <v>1344</v>
      </c>
      <c r="L62" s="15">
        <f ca="1">IFERROR(ROUNDUP(L12/'B. Implementation Plan'!E85,0),0)</f>
        <v>1375</v>
      </c>
      <c r="M62" s="15">
        <f ca="1">IFERROR(ROUNDUP(M12/'B. Implementation Plan'!E85,0),0)</f>
        <v>1407</v>
      </c>
      <c r="N62" s="15">
        <f ca="1">IFERROR(ROUNDUP(N12/'B. Implementation Plan'!E85,0),0)</f>
        <v>1438</v>
      </c>
      <c r="O62" s="15">
        <f ca="1">IFERROR(ROUNDUP(O12/'B. Implementation Plan'!E85,0),0)</f>
        <v>1469</v>
      </c>
      <c r="P62" s="78">
        <f ca="1">IF(O62=0,IF(N62=0,IF(M62=0,IF(L62=0,IF(K62=0,IF(J62=0,IF(I62=0,IF(H62=0,IF(G62=0,IF(F62=0,E62,F62),G62),H62),I62),J62),K62),L62),M62),N62),O62)</f>
        <v>1469</v>
      </c>
    </row>
    <row r="63" spans="1:16" x14ac:dyDescent="0.3">
      <c r="A63" s="1"/>
      <c r="B63" s="1"/>
      <c r="C63" s="60" t="s">
        <v>113</v>
      </c>
      <c r="D63" s="68"/>
      <c r="E63" s="15">
        <f ca="1">IFERROR(ROUNDUP(E13/'B. Implementation Plan'!E85,0),0)</f>
        <v>41</v>
      </c>
      <c r="F63" s="15">
        <f ca="1">IFERROR(ROUNDUP(F13/'B. Implementation Plan'!E85,0),0)</f>
        <v>41</v>
      </c>
      <c r="G63" s="15">
        <f ca="1">IFERROR(ROUNDUP(G13/'B. Implementation Plan'!E85,0),0)</f>
        <v>41</v>
      </c>
      <c r="H63" s="15">
        <f ca="1">IFERROR(ROUNDUP(H13/'B. Implementation Plan'!E85,0),0)</f>
        <v>41</v>
      </c>
      <c r="I63" s="15">
        <f ca="1">IFERROR(ROUNDUP(I13/'B. Implementation Plan'!E85,0),0)</f>
        <v>41</v>
      </c>
      <c r="J63" s="15">
        <f ca="1">IFERROR(ROUNDUP(J13/'B. Implementation Plan'!E85,0),0)</f>
        <v>41</v>
      </c>
      <c r="K63" s="15">
        <f ca="1">IFERROR(ROUNDUP(K13/'B. Implementation Plan'!E85,0),0)</f>
        <v>41</v>
      </c>
      <c r="L63" s="15">
        <f ca="1">IFERROR(ROUNDUP(L13/'B. Implementation Plan'!E85,0),0)</f>
        <v>41</v>
      </c>
      <c r="M63" s="15">
        <f ca="1">IFERROR(ROUNDUP(M13/'B. Implementation Plan'!E85,0),0)</f>
        <v>41</v>
      </c>
      <c r="N63" s="15">
        <f ca="1">IFERROR(ROUNDUP(N13/'B. Implementation Plan'!E85,0),0)</f>
        <v>41</v>
      </c>
      <c r="O63" s="15">
        <f ca="1">IFERROR(ROUNDUP(O13/'B. Implementation Plan'!E85,0),0)</f>
        <v>41</v>
      </c>
      <c r="P63" s="78">
        <f t="shared" ref="P63:P65" ca="1" si="65">IF(O63=0,IF(N63=0,IF(M63=0,IF(L63=0,IF(K63=0,IF(J63=0,IF(I63=0,IF(H63=0,IF(G63=0,IF(F63=0,E63,F63),G63),H63),I63),J63),K63),L63),M63),N63),O63)</f>
        <v>41</v>
      </c>
    </row>
    <row r="64" spans="1:16" x14ac:dyDescent="0.3">
      <c r="A64" s="1"/>
      <c r="B64" s="1"/>
      <c r="C64" s="60" t="s">
        <v>114</v>
      </c>
      <c r="D64" s="68"/>
      <c r="E64" s="15">
        <f ca="1">IFERROR(ROUNDUP(E14/'B. Implementation Plan'!E85,0),0)</f>
        <v>0</v>
      </c>
      <c r="F64" s="15">
        <f ca="1">IFERROR(ROUNDUP(F14/'B. Implementation Plan'!E85,0),0)</f>
        <v>0</v>
      </c>
      <c r="G64" s="15">
        <f ca="1">IFERROR(ROUNDUP(G14/'B. Implementation Plan'!E85,0),0)</f>
        <v>0</v>
      </c>
      <c r="H64" s="15">
        <f ca="1">IFERROR(ROUNDUP(H14/'B. Implementation Plan'!E85,0),0)</f>
        <v>0</v>
      </c>
      <c r="I64" s="15">
        <f ca="1">IFERROR(ROUNDUP(I14/'B. Implementation Plan'!E85,0),0)</f>
        <v>0</v>
      </c>
      <c r="J64" s="15">
        <f ca="1">IFERROR(ROUNDUP(J14/'B. Implementation Plan'!E85,0),0)</f>
        <v>0</v>
      </c>
      <c r="K64" s="15">
        <f ca="1">IFERROR(ROUNDUP(K14/'B. Implementation Plan'!E85,0),0)</f>
        <v>0</v>
      </c>
      <c r="L64" s="15">
        <f ca="1">IFERROR(ROUNDUP(L14/'B. Implementation Plan'!E85,0),0)</f>
        <v>0</v>
      </c>
      <c r="M64" s="15">
        <f ca="1">IFERROR(ROUNDUP(M14/'B. Implementation Plan'!E85,0),0)</f>
        <v>0</v>
      </c>
      <c r="N64" s="15">
        <f ca="1">IFERROR(ROUNDUP(N14/'B. Implementation Plan'!E85,0),0)</f>
        <v>0</v>
      </c>
      <c r="O64" s="15">
        <f ca="1">IFERROR(ROUNDUP(O14/'B. Implementation Plan'!E85,0),0)</f>
        <v>0</v>
      </c>
      <c r="P64" s="78">
        <f t="shared" ca="1" si="65"/>
        <v>0</v>
      </c>
    </row>
    <row r="65" spans="1:16" x14ac:dyDescent="0.3">
      <c r="A65" s="1"/>
      <c r="B65" s="1"/>
      <c r="C65" s="64" t="s">
        <v>86</v>
      </c>
      <c r="D65" s="68"/>
      <c r="E65" s="324">
        <f ca="1">SUM(E62:E64)</f>
        <v>1198</v>
      </c>
      <c r="F65" s="324">
        <f t="shared" ref="F65" ca="1" si="66">SUM(F62:F64)</f>
        <v>1229</v>
      </c>
      <c r="G65" s="324">
        <f t="shared" ref="G65" ca="1" si="67">SUM(G62:G64)</f>
        <v>1260</v>
      </c>
      <c r="H65" s="324">
        <f t="shared" ref="H65" ca="1" si="68">SUM(H62:H64)</f>
        <v>1291</v>
      </c>
      <c r="I65" s="324">
        <f t="shared" ref="I65" ca="1" si="69">SUM(I62:I64)</f>
        <v>1323</v>
      </c>
      <c r="J65" s="324">
        <f t="shared" ref="J65" ca="1" si="70">SUM(J62:J64)</f>
        <v>1354</v>
      </c>
      <c r="K65" s="324">
        <f t="shared" ref="K65" ca="1" si="71">SUM(K62:K64)</f>
        <v>1385</v>
      </c>
      <c r="L65" s="324">
        <f t="shared" ref="L65" ca="1" si="72">SUM(L62:L64)</f>
        <v>1416</v>
      </c>
      <c r="M65" s="324">
        <f t="shared" ref="M65" ca="1" si="73">SUM(M62:M64)</f>
        <v>1448</v>
      </c>
      <c r="N65" s="324">
        <f t="shared" ref="N65" ca="1" si="74">SUM(N62:N64)</f>
        <v>1479</v>
      </c>
      <c r="O65" s="324">
        <f t="shared" ref="O65" ca="1" si="75">SUM(O62:O64)</f>
        <v>1510</v>
      </c>
      <c r="P65" s="325">
        <f t="shared" ca="1" si="65"/>
        <v>1510</v>
      </c>
    </row>
    <row r="66" spans="1:16" x14ac:dyDescent="0.3">
      <c r="A66" s="1"/>
      <c r="B66" s="1"/>
      <c r="C66" s="60" t="s">
        <v>115</v>
      </c>
      <c r="D66" s="68"/>
      <c r="E66" s="15">
        <f ca="1">IFERROR(ROUNDUP(E16/'B. Implementation Plan'!E85,0),0)</f>
        <v>0</v>
      </c>
      <c r="F66" s="15">
        <f ca="1">IFERROR(ROUNDUP(F16/'B. Implementation Plan'!E85,0),0)</f>
        <v>0</v>
      </c>
      <c r="G66" s="15">
        <f ca="1">IFERROR(ROUNDUP(G16/'B. Implementation Plan'!E85,0),0)</f>
        <v>0</v>
      </c>
      <c r="H66" s="15">
        <f ca="1">IFERROR(ROUNDUP(H16/'B. Implementation Plan'!E85,0),0)</f>
        <v>0</v>
      </c>
      <c r="I66" s="15">
        <f ca="1">IFERROR(ROUNDUP(I16/'B. Implementation Plan'!E85,0),0)</f>
        <v>0</v>
      </c>
      <c r="J66" s="15">
        <f ca="1">IFERROR(ROUNDUP(J16/'B. Implementation Plan'!E85,0),0)</f>
        <v>0</v>
      </c>
      <c r="K66" s="15">
        <f ca="1">IFERROR(ROUNDUP(K16/'B. Implementation Plan'!E85,0),0)</f>
        <v>0</v>
      </c>
      <c r="L66" s="15">
        <f ca="1">IFERROR(ROUNDUP(L16/'B. Implementation Plan'!E85,0),0)</f>
        <v>0</v>
      </c>
      <c r="M66" s="15">
        <f ca="1">IFERROR(ROUNDUP(M16/'B. Implementation Plan'!E85,0),0)</f>
        <v>0</v>
      </c>
      <c r="N66" s="15">
        <f ca="1">IFERROR(ROUNDUP(N16/'B. Implementation Plan'!E85,0),0)</f>
        <v>0</v>
      </c>
      <c r="O66" s="15">
        <f ca="1">IFERROR(ROUNDUP(O16/'B. Implementation Plan'!E85,0),0)</f>
        <v>0</v>
      </c>
      <c r="P66" s="78">
        <f ca="1">IF(O66=0,IF(N66=0,IF(M66=0,IF(L66=0,IF(K66=0,IF(J66=0,IF(I66=0,IF(H66=0,IF(G66=0,IF(F66=0,E66,F66),G66),H66),I66),J66),K66),L66),M66),N66),O66)</f>
        <v>0</v>
      </c>
    </row>
    <row r="67" spans="1:16" x14ac:dyDescent="0.3">
      <c r="A67" s="1"/>
      <c r="B67" s="1"/>
      <c r="C67" s="60" t="s">
        <v>803</v>
      </c>
      <c r="D67" s="68"/>
      <c r="E67" s="15">
        <f ca="1">IFERROR(ROUNDUP(E17/'B. Implementation Plan'!E85,0),0)</f>
        <v>0</v>
      </c>
      <c r="F67" s="15">
        <f ca="1">IFERROR(ROUNDUP(F17/'B. Implementation Plan'!E85,0),0)</f>
        <v>0</v>
      </c>
      <c r="G67" s="15">
        <f ca="1">IFERROR(ROUNDUP(G17/'B. Implementation Plan'!E85,0),0)</f>
        <v>0</v>
      </c>
      <c r="H67" s="15">
        <f ca="1">IFERROR(ROUNDUP(H17/'B. Implementation Plan'!E85,0),0)</f>
        <v>0</v>
      </c>
      <c r="I67" s="15">
        <f ca="1">IFERROR(ROUNDUP(I17/'B. Implementation Plan'!E85,0),0)</f>
        <v>0</v>
      </c>
      <c r="J67" s="15">
        <f ca="1">IFERROR(ROUNDUP(J17/'B. Implementation Plan'!E85,0),0)</f>
        <v>0</v>
      </c>
      <c r="K67" s="15">
        <f ca="1">IFERROR(ROUNDUP(K17/'B. Implementation Plan'!E85,0),0)</f>
        <v>0</v>
      </c>
      <c r="L67" s="15">
        <f ca="1">IFERROR(ROUNDUP(L17/'B. Implementation Plan'!E85,0),0)</f>
        <v>0</v>
      </c>
      <c r="M67" s="15">
        <f ca="1">IFERROR(ROUNDUP(M17/'B. Implementation Plan'!E85,0),0)</f>
        <v>0</v>
      </c>
      <c r="N67" s="15">
        <f ca="1">IFERROR(ROUNDUP(N17/'B. Implementation Plan'!E85,0),0)</f>
        <v>0</v>
      </c>
      <c r="O67" s="15">
        <f ca="1">IFERROR(ROUNDUP(O17/'B. Implementation Plan'!E85,0),0)</f>
        <v>0</v>
      </c>
      <c r="P67" s="78">
        <f t="shared" ref="P67:P73" ca="1" si="76">IF(O67=0,IF(N67=0,IF(M67=0,IF(L67=0,IF(K67=0,IF(J67=0,IF(I67=0,IF(H67=0,IF(G67=0,IF(F67=0,E67,F67),G67),H67),I67),J67),K67),L67),M67),N67),O67)</f>
        <v>0</v>
      </c>
    </row>
    <row r="68" spans="1:16" x14ac:dyDescent="0.3">
      <c r="A68" s="1"/>
      <c r="B68" s="1"/>
      <c r="C68" s="60" t="s">
        <v>804</v>
      </c>
      <c r="D68" s="68"/>
      <c r="E68" s="15">
        <f ca="1">IFERROR(ROUNDUP(E18/'B. Implementation Plan'!E85,0),0)</f>
        <v>0</v>
      </c>
      <c r="F68" s="15">
        <f ca="1">IFERROR(ROUNDUP(F18/'B. Implementation Plan'!E85,0),0)</f>
        <v>0</v>
      </c>
      <c r="G68" s="15">
        <f ca="1">IFERROR(ROUNDUP(G18/'B. Implementation Plan'!E85,0),0)</f>
        <v>0</v>
      </c>
      <c r="H68" s="15">
        <f ca="1">IFERROR(ROUNDUP(H18/'B. Implementation Plan'!E85,0),0)</f>
        <v>0</v>
      </c>
      <c r="I68" s="15">
        <f ca="1">IFERROR(ROUNDUP(I18/'B. Implementation Plan'!E85,0),0)</f>
        <v>0</v>
      </c>
      <c r="J68" s="15">
        <f ca="1">IFERROR(ROUNDUP(J18/'B. Implementation Plan'!E85,0),0)</f>
        <v>0</v>
      </c>
      <c r="K68" s="15">
        <f ca="1">IFERROR(ROUNDUP(K18/'B. Implementation Plan'!E85,0),0)</f>
        <v>0</v>
      </c>
      <c r="L68" s="15">
        <f ca="1">IFERROR(ROUNDUP(L18/'B. Implementation Plan'!E85,0),0)</f>
        <v>0</v>
      </c>
      <c r="M68" s="15">
        <f ca="1">IFERROR(ROUNDUP(M18/'B. Implementation Plan'!E85,0),0)</f>
        <v>0</v>
      </c>
      <c r="N68" s="15">
        <f ca="1">IFERROR(ROUNDUP(N18/'B. Implementation Plan'!E85,0),0)</f>
        <v>0</v>
      </c>
      <c r="O68" s="15">
        <f ca="1">IFERROR(ROUNDUP(O18/'B. Implementation Plan'!E85,0),0)</f>
        <v>0</v>
      </c>
      <c r="P68" s="78">
        <f t="shared" ca="1" si="76"/>
        <v>0</v>
      </c>
    </row>
    <row r="69" spans="1:16" x14ac:dyDescent="0.3">
      <c r="A69" s="1"/>
      <c r="B69" s="1"/>
      <c r="C69" s="64" t="s">
        <v>87</v>
      </c>
      <c r="D69" s="68"/>
      <c r="E69" s="324">
        <f ca="1">SUM(E66:E68)</f>
        <v>0</v>
      </c>
      <c r="F69" s="324">
        <f t="shared" ref="F69" ca="1" si="77">SUM(F66:F68)</f>
        <v>0</v>
      </c>
      <c r="G69" s="324">
        <f t="shared" ref="G69" ca="1" si="78">SUM(G66:G68)</f>
        <v>0</v>
      </c>
      <c r="H69" s="324">
        <f t="shared" ref="H69" ca="1" si="79">SUM(H66:H68)</f>
        <v>0</v>
      </c>
      <c r="I69" s="324">
        <f t="shared" ref="I69" ca="1" si="80">SUM(I66:I68)</f>
        <v>0</v>
      </c>
      <c r="J69" s="324">
        <f t="shared" ref="J69" ca="1" si="81">SUM(J66:J68)</f>
        <v>0</v>
      </c>
      <c r="K69" s="324">
        <f t="shared" ref="K69" ca="1" si="82">SUM(K66:K68)</f>
        <v>0</v>
      </c>
      <c r="L69" s="324">
        <f t="shared" ref="L69" ca="1" si="83">SUM(L66:L68)</f>
        <v>0</v>
      </c>
      <c r="M69" s="324">
        <f t="shared" ref="M69" ca="1" si="84">SUM(M66:M68)</f>
        <v>0</v>
      </c>
      <c r="N69" s="324">
        <f t="shared" ref="N69" ca="1" si="85">SUM(N66:N68)</f>
        <v>0</v>
      </c>
      <c r="O69" s="324">
        <f t="shared" ref="O69" ca="1" si="86">SUM(O66:O68)</f>
        <v>0</v>
      </c>
      <c r="P69" s="325">
        <f t="shared" ca="1" si="76"/>
        <v>0</v>
      </c>
    </row>
    <row r="70" spans="1:16" x14ac:dyDescent="0.3">
      <c r="A70" s="1"/>
      <c r="B70" s="1"/>
      <c r="C70" s="61" t="s">
        <v>88</v>
      </c>
      <c r="D70" s="69"/>
      <c r="E70" s="324">
        <f ca="1">E61+E65+E69</f>
        <v>1198</v>
      </c>
      <c r="F70" s="324">
        <f t="shared" ref="F70" ca="1" si="87">F61+F65+F69</f>
        <v>1229</v>
      </c>
      <c r="G70" s="324">
        <f t="shared" ref="G70" ca="1" si="88">G61+G65+G69</f>
        <v>1260</v>
      </c>
      <c r="H70" s="324">
        <f t="shared" ref="H70" ca="1" si="89">H61+H65+H69</f>
        <v>1291</v>
      </c>
      <c r="I70" s="324">
        <f t="shared" ref="I70" ca="1" si="90">I61+I65+I69</f>
        <v>1323</v>
      </c>
      <c r="J70" s="324">
        <f t="shared" ref="J70" ca="1" si="91">J61+J65+J69</f>
        <v>1354</v>
      </c>
      <c r="K70" s="324">
        <f t="shared" ref="K70" ca="1" si="92">K61+K65+K69</f>
        <v>1385</v>
      </c>
      <c r="L70" s="324">
        <f t="shared" ref="L70" ca="1" si="93">L61+L65+L69</f>
        <v>1416</v>
      </c>
      <c r="M70" s="324">
        <f t="shared" ref="M70" ca="1" si="94">M61+M65+M69</f>
        <v>1448</v>
      </c>
      <c r="N70" s="324">
        <f t="shared" ref="N70" ca="1" si="95">N61+N65+N69</f>
        <v>1479</v>
      </c>
      <c r="O70" s="324">
        <f t="shared" ref="O70" ca="1" si="96">O61+O65+O69</f>
        <v>1510</v>
      </c>
      <c r="P70" s="325">
        <f t="shared" ca="1" si="76"/>
        <v>1510</v>
      </c>
    </row>
    <row r="71" spans="1:16" x14ac:dyDescent="0.3">
      <c r="A71" s="1"/>
      <c r="B71" s="1"/>
      <c r="C71" s="63" t="s">
        <v>116</v>
      </c>
      <c r="D71" s="69"/>
      <c r="E71" s="15">
        <f ca="1">E58+E62+E66</f>
        <v>1157</v>
      </c>
      <c r="F71" s="15">
        <f t="shared" ref="F71:O71" ca="1" si="97">F58+F62+F66</f>
        <v>1188</v>
      </c>
      <c r="G71" s="15">
        <f t="shared" ca="1" si="97"/>
        <v>1219</v>
      </c>
      <c r="H71" s="15">
        <f t="shared" ca="1" si="97"/>
        <v>1250</v>
      </c>
      <c r="I71" s="15">
        <f t="shared" ca="1" si="97"/>
        <v>1282</v>
      </c>
      <c r="J71" s="15">
        <f t="shared" ca="1" si="97"/>
        <v>1313</v>
      </c>
      <c r="K71" s="15">
        <f t="shared" ca="1" si="97"/>
        <v>1344</v>
      </c>
      <c r="L71" s="15">
        <f t="shared" ca="1" si="97"/>
        <v>1375</v>
      </c>
      <c r="M71" s="15">
        <f t="shared" ca="1" si="97"/>
        <v>1407</v>
      </c>
      <c r="N71" s="15">
        <f t="shared" ca="1" si="97"/>
        <v>1438</v>
      </c>
      <c r="O71" s="15">
        <f t="shared" ca="1" si="97"/>
        <v>1469</v>
      </c>
      <c r="P71" s="78">
        <f t="shared" ca="1" si="76"/>
        <v>1469</v>
      </c>
    </row>
    <row r="72" spans="1:16" x14ac:dyDescent="0.3">
      <c r="A72" s="1"/>
      <c r="B72" s="1"/>
      <c r="C72" s="63" t="s">
        <v>117</v>
      </c>
      <c r="D72" s="69"/>
      <c r="E72" s="15">
        <f t="shared" ref="E72:O72" ca="1" si="98">E59+E63+E67</f>
        <v>41</v>
      </c>
      <c r="F72" s="15">
        <f t="shared" ca="1" si="98"/>
        <v>41</v>
      </c>
      <c r="G72" s="15">
        <f t="shared" ca="1" si="98"/>
        <v>41</v>
      </c>
      <c r="H72" s="15">
        <f t="shared" ca="1" si="98"/>
        <v>41</v>
      </c>
      <c r="I72" s="15">
        <f t="shared" ca="1" si="98"/>
        <v>41</v>
      </c>
      <c r="J72" s="15">
        <f t="shared" ca="1" si="98"/>
        <v>41</v>
      </c>
      <c r="K72" s="15">
        <f t="shared" ca="1" si="98"/>
        <v>41</v>
      </c>
      <c r="L72" s="15">
        <f t="shared" ca="1" si="98"/>
        <v>41</v>
      </c>
      <c r="M72" s="15">
        <f t="shared" ca="1" si="98"/>
        <v>41</v>
      </c>
      <c r="N72" s="15">
        <f t="shared" ca="1" si="98"/>
        <v>41</v>
      </c>
      <c r="O72" s="15">
        <f t="shared" ca="1" si="98"/>
        <v>41</v>
      </c>
      <c r="P72" s="78">
        <f t="shared" ca="1" si="76"/>
        <v>41</v>
      </c>
    </row>
    <row r="73" spans="1:16" ht="15" thickBot="1" x14ac:dyDescent="0.35">
      <c r="A73" s="1"/>
      <c r="B73" s="1"/>
      <c r="C73" s="63" t="s">
        <v>118</v>
      </c>
      <c r="D73" s="69"/>
      <c r="E73" s="15">
        <f t="shared" ref="E73:O73" ca="1" si="99">E60+E64+E68</f>
        <v>0</v>
      </c>
      <c r="F73" s="15">
        <f t="shared" ca="1" si="99"/>
        <v>0</v>
      </c>
      <c r="G73" s="15">
        <f t="shared" ca="1" si="99"/>
        <v>0</v>
      </c>
      <c r="H73" s="15">
        <f t="shared" ca="1" si="99"/>
        <v>0</v>
      </c>
      <c r="I73" s="15">
        <f t="shared" ca="1" si="99"/>
        <v>0</v>
      </c>
      <c r="J73" s="15">
        <f t="shared" ca="1" si="99"/>
        <v>0</v>
      </c>
      <c r="K73" s="15">
        <f t="shared" ca="1" si="99"/>
        <v>0</v>
      </c>
      <c r="L73" s="15">
        <f t="shared" ca="1" si="99"/>
        <v>0</v>
      </c>
      <c r="M73" s="15">
        <f t="shared" ca="1" si="99"/>
        <v>0</v>
      </c>
      <c r="N73" s="15">
        <f t="shared" ca="1" si="99"/>
        <v>0</v>
      </c>
      <c r="O73" s="15">
        <f t="shared" ca="1" si="99"/>
        <v>0</v>
      </c>
      <c r="P73" s="79">
        <f t="shared" ca="1" si="76"/>
        <v>0</v>
      </c>
    </row>
    <row r="74" spans="1:16" ht="14.55" customHeight="1" x14ac:dyDescent="0.3">
      <c r="P74"/>
    </row>
    <row r="75" spans="1:16" ht="14.55" customHeight="1" thickBot="1" x14ac:dyDescent="0.35">
      <c r="P75"/>
    </row>
    <row r="76" spans="1:16" s="67" customFormat="1" ht="15.6" x14ac:dyDescent="0.3">
      <c r="A76" s="62"/>
      <c r="B76" s="62" t="s">
        <v>311</v>
      </c>
      <c r="D76" s="65"/>
      <c r="E76" s="66">
        <v>0</v>
      </c>
      <c r="F76" s="66">
        <v>1</v>
      </c>
      <c r="G76" s="66">
        <v>2</v>
      </c>
      <c r="H76" s="66">
        <v>3</v>
      </c>
      <c r="I76" s="66">
        <v>4</v>
      </c>
      <c r="J76" s="66">
        <v>5</v>
      </c>
      <c r="K76" s="66">
        <v>6</v>
      </c>
      <c r="L76" s="66">
        <v>7</v>
      </c>
      <c r="M76" s="66">
        <v>8</v>
      </c>
      <c r="N76" s="66">
        <v>9</v>
      </c>
      <c r="O76" s="213">
        <v>10</v>
      </c>
      <c r="P76" s="214" t="s">
        <v>2</v>
      </c>
    </row>
    <row r="77" spans="1:16" x14ac:dyDescent="0.3">
      <c r="A77" s="1"/>
      <c r="B77" s="1"/>
      <c r="C77" s="60" t="s">
        <v>366</v>
      </c>
      <c r="D77" s="68"/>
      <c r="E77" s="15">
        <f ca="1">ROUNDUP(E58/2,0)</f>
        <v>0</v>
      </c>
      <c r="F77" s="15">
        <f t="shared" ref="F77:O77" ca="1" si="100">ROUNDUP(F58/2,0)</f>
        <v>0</v>
      </c>
      <c r="G77" s="15">
        <f t="shared" ca="1" si="100"/>
        <v>0</v>
      </c>
      <c r="H77" s="15">
        <f t="shared" ca="1" si="100"/>
        <v>0</v>
      </c>
      <c r="I77" s="15">
        <f t="shared" ca="1" si="100"/>
        <v>0</v>
      </c>
      <c r="J77" s="15">
        <f t="shared" ca="1" si="100"/>
        <v>0</v>
      </c>
      <c r="K77" s="15">
        <f t="shared" ca="1" si="100"/>
        <v>0</v>
      </c>
      <c r="L77" s="15">
        <f t="shared" ca="1" si="100"/>
        <v>0</v>
      </c>
      <c r="M77" s="15">
        <f t="shared" ca="1" si="100"/>
        <v>0</v>
      </c>
      <c r="N77" s="15">
        <f t="shared" ca="1" si="100"/>
        <v>0</v>
      </c>
      <c r="O77" s="15">
        <f t="shared" ca="1" si="100"/>
        <v>0</v>
      </c>
      <c r="P77" s="78">
        <f ca="1">IF(O77=0,IF(N77=0,IF(M77=0,IF(L77=0,IF(K77=0,IF(J77=0,IF(I77=0,IF(H77=0,IF(G77=0,IF(F77=0,E77,F77),G77),H77),I77),J77),K77),L77),M77),N77),O77)</f>
        <v>0</v>
      </c>
    </row>
    <row r="78" spans="1:16" x14ac:dyDescent="0.3">
      <c r="A78" s="1"/>
      <c r="B78" s="1"/>
      <c r="C78" s="60" t="s">
        <v>367</v>
      </c>
      <c r="D78" s="68"/>
      <c r="E78" s="15">
        <f ca="1">ROUNDUP(E59/1,0)</f>
        <v>0</v>
      </c>
      <c r="F78" s="15">
        <f t="shared" ref="F78:O78" ca="1" si="101">ROUNDUP(F59/1,0)</f>
        <v>0</v>
      </c>
      <c r="G78" s="15">
        <f t="shared" ca="1" si="101"/>
        <v>0</v>
      </c>
      <c r="H78" s="15">
        <f t="shared" ca="1" si="101"/>
        <v>0</v>
      </c>
      <c r="I78" s="15">
        <f t="shared" ca="1" si="101"/>
        <v>0</v>
      </c>
      <c r="J78" s="15">
        <f t="shared" ca="1" si="101"/>
        <v>0</v>
      </c>
      <c r="K78" s="15">
        <f t="shared" ca="1" si="101"/>
        <v>0</v>
      </c>
      <c r="L78" s="15">
        <f t="shared" ca="1" si="101"/>
        <v>0</v>
      </c>
      <c r="M78" s="15">
        <f t="shared" ca="1" si="101"/>
        <v>0</v>
      </c>
      <c r="N78" s="15">
        <f t="shared" ca="1" si="101"/>
        <v>0</v>
      </c>
      <c r="O78" s="15">
        <f t="shared" ca="1" si="101"/>
        <v>0</v>
      </c>
      <c r="P78" s="78">
        <f t="shared" ref="P78:P80" ca="1" si="102">IF(O78=0,IF(N78=0,IF(M78=0,IF(L78=0,IF(K78=0,IF(J78=0,IF(I78=0,IF(H78=0,IF(G78=0,IF(F78=0,E78,F78),G78),H78),I78),J78),K78),L78),M78),N78),O78)</f>
        <v>0</v>
      </c>
    </row>
    <row r="79" spans="1:16" x14ac:dyDescent="0.3">
      <c r="A79" s="1"/>
      <c r="B79" s="1"/>
      <c r="C79" s="60" t="s">
        <v>368</v>
      </c>
      <c r="D79" s="68"/>
      <c r="E79" s="15">
        <f ca="1">ROUNDUP(E60/1,0)</f>
        <v>0</v>
      </c>
      <c r="F79" s="15">
        <f t="shared" ref="F79:O79" ca="1" si="103">ROUNDUP(F60/1,0)</f>
        <v>0</v>
      </c>
      <c r="G79" s="15">
        <f t="shared" ca="1" si="103"/>
        <v>0</v>
      </c>
      <c r="H79" s="15">
        <f t="shared" ca="1" si="103"/>
        <v>0</v>
      </c>
      <c r="I79" s="15">
        <f t="shared" ca="1" si="103"/>
        <v>0</v>
      </c>
      <c r="J79" s="15">
        <f t="shared" ca="1" si="103"/>
        <v>0</v>
      </c>
      <c r="K79" s="15">
        <f t="shared" ca="1" si="103"/>
        <v>0</v>
      </c>
      <c r="L79" s="15">
        <f t="shared" ca="1" si="103"/>
        <v>0</v>
      </c>
      <c r="M79" s="15">
        <f t="shared" ca="1" si="103"/>
        <v>0</v>
      </c>
      <c r="N79" s="15">
        <f t="shared" ca="1" si="103"/>
        <v>0</v>
      </c>
      <c r="O79" s="15">
        <f t="shared" ca="1" si="103"/>
        <v>0</v>
      </c>
      <c r="P79" s="78">
        <f t="shared" ca="1" si="102"/>
        <v>0</v>
      </c>
    </row>
    <row r="80" spans="1:16" x14ac:dyDescent="0.3">
      <c r="A80" s="1"/>
      <c r="B80" s="1"/>
      <c r="C80" s="64" t="s">
        <v>89</v>
      </c>
      <c r="D80" s="68"/>
      <c r="E80" s="324">
        <f ca="1">SUM(E77:E79)</f>
        <v>0</v>
      </c>
      <c r="F80" s="324">
        <f t="shared" ref="F80:O80" ca="1" si="104">SUM(F77:F79)</f>
        <v>0</v>
      </c>
      <c r="G80" s="324">
        <f t="shared" ca="1" si="104"/>
        <v>0</v>
      </c>
      <c r="H80" s="324">
        <f t="shared" ca="1" si="104"/>
        <v>0</v>
      </c>
      <c r="I80" s="324">
        <f t="shared" ca="1" si="104"/>
        <v>0</v>
      </c>
      <c r="J80" s="324">
        <f t="shared" ca="1" si="104"/>
        <v>0</v>
      </c>
      <c r="K80" s="324">
        <f t="shared" ca="1" si="104"/>
        <v>0</v>
      </c>
      <c r="L80" s="324">
        <f t="shared" ca="1" si="104"/>
        <v>0</v>
      </c>
      <c r="M80" s="324">
        <f t="shared" ca="1" si="104"/>
        <v>0</v>
      </c>
      <c r="N80" s="324">
        <f t="shared" ca="1" si="104"/>
        <v>0</v>
      </c>
      <c r="O80" s="324">
        <f t="shared" ca="1" si="104"/>
        <v>0</v>
      </c>
      <c r="P80" s="325">
        <f t="shared" ca="1" si="102"/>
        <v>0</v>
      </c>
    </row>
    <row r="81" spans="1:16" x14ac:dyDescent="0.3">
      <c r="A81" s="1"/>
      <c r="B81" s="1"/>
      <c r="C81" s="60" t="s">
        <v>119</v>
      </c>
      <c r="D81" s="68"/>
      <c r="E81" s="15">
        <f ca="1">ROUNDUP(E62/2,0)</f>
        <v>579</v>
      </c>
      <c r="F81" s="15">
        <f t="shared" ref="F81:O81" ca="1" si="105">ROUNDUP(F62/2,0)</f>
        <v>594</v>
      </c>
      <c r="G81" s="15">
        <f t="shared" ca="1" si="105"/>
        <v>610</v>
      </c>
      <c r="H81" s="15">
        <f t="shared" ca="1" si="105"/>
        <v>625</v>
      </c>
      <c r="I81" s="15">
        <f t="shared" ca="1" si="105"/>
        <v>641</v>
      </c>
      <c r="J81" s="15">
        <f t="shared" ca="1" si="105"/>
        <v>657</v>
      </c>
      <c r="K81" s="15">
        <f t="shared" ca="1" si="105"/>
        <v>672</v>
      </c>
      <c r="L81" s="15">
        <f t="shared" ca="1" si="105"/>
        <v>688</v>
      </c>
      <c r="M81" s="15">
        <f t="shared" ca="1" si="105"/>
        <v>704</v>
      </c>
      <c r="N81" s="15">
        <f t="shared" ca="1" si="105"/>
        <v>719</v>
      </c>
      <c r="O81" s="15">
        <f t="shared" ca="1" si="105"/>
        <v>735</v>
      </c>
      <c r="P81" s="78">
        <f ca="1">IF(O81=0,IF(N81=0,IF(M81=0,IF(L81=0,IF(K81=0,IF(J81=0,IF(I81=0,IF(H81=0,IF(G81=0,IF(F81=0,E81,F81),G81),H81),I81),J81),K81),L81),M81),N81),O81)</f>
        <v>735</v>
      </c>
    </row>
    <row r="82" spans="1:16" x14ac:dyDescent="0.3">
      <c r="A82" s="1"/>
      <c r="B82" s="1"/>
      <c r="C82" s="60" t="s">
        <v>120</v>
      </c>
      <c r="D82" s="68"/>
      <c r="E82" s="15">
        <f ca="1">ROUNDUP(E63/1,0)</f>
        <v>41</v>
      </c>
      <c r="F82" s="15">
        <f t="shared" ref="F82:O82" ca="1" si="106">ROUNDUP(F63/1,0)</f>
        <v>41</v>
      </c>
      <c r="G82" s="15">
        <f t="shared" ca="1" si="106"/>
        <v>41</v>
      </c>
      <c r="H82" s="15">
        <f t="shared" ca="1" si="106"/>
        <v>41</v>
      </c>
      <c r="I82" s="15">
        <f t="shared" ca="1" si="106"/>
        <v>41</v>
      </c>
      <c r="J82" s="15">
        <f t="shared" ca="1" si="106"/>
        <v>41</v>
      </c>
      <c r="K82" s="15">
        <f t="shared" ca="1" si="106"/>
        <v>41</v>
      </c>
      <c r="L82" s="15">
        <f t="shared" ca="1" si="106"/>
        <v>41</v>
      </c>
      <c r="M82" s="15">
        <f t="shared" ca="1" si="106"/>
        <v>41</v>
      </c>
      <c r="N82" s="15">
        <f t="shared" ca="1" si="106"/>
        <v>41</v>
      </c>
      <c r="O82" s="15">
        <f t="shared" ca="1" si="106"/>
        <v>41</v>
      </c>
      <c r="P82" s="78">
        <f t="shared" ref="P82:P84" ca="1" si="107">IF(O82=0,IF(N82=0,IF(M82=0,IF(L82=0,IF(K82=0,IF(J82=0,IF(I82=0,IF(H82=0,IF(G82=0,IF(F82=0,E82,F82),G82),H82),I82),J82),K82),L82),M82),N82),O82)</f>
        <v>41</v>
      </c>
    </row>
    <row r="83" spans="1:16" x14ac:dyDescent="0.3">
      <c r="A83" s="1"/>
      <c r="B83" s="1"/>
      <c r="C83" s="60" t="s">
        <v>121</v>
      </c>
      <c r="D83" s="68"/>
      <c r="E83" s="15">
        <f ca="1">ROUNDUP(E64/1,0)</f>
        <v>0</v>
      </c>
      <c r="F83" s="15">
        <f t="shared" ref="F83:O83" ca="1" si="108">ROUNDUP(F64/1,0)</f>
        <v>0</v>
      </c>
      <c r="G83" s="15">
        <f t="shared" ca="1" si="108"/>
        <v>0</v>
      </c>
      <c r="H83" s="15">
        <f t="shared" ca="1" si="108"/>
        <v>0</v>
      </c>
      <c r="I83" s="15">
        <f t="shared" ca="1" si="108"/>
        <v>0</v>
      </c>
      <c r="J83" s="15">
        <f t="shared" ca="1" si="108"/>
        <v>0</v>
      </c>
      <c r="K83" s="15">
        <f t="shared" ca="1" si="108"/>
        <v>0</v>
      </c>
      <c r="L83" s="15">
        <f t="shared" ca="1" si="108"/>
        <v>0</v>
      </c>
      <c r="M83" s="15">
        <f t="shared" ca="1" si="108"/>
        <v>0</v>
      </c>
      <c r="N83" s="15">
        <f t="shared" ca="1" si="108"/>
        <v>0</v>
      </c>
      <c r="O83" s="15">
        <f t="shared" ca="1" si="108"/>
        <v>0</v>
      </c>
      <c r="P83" s="78">
        <f t="shared" ca="1" si="107"/>
        <v>0</v>
      </c>
    </row>
    <row r="84" spans="1:16" x14ac:dyDescent="0.3">
      <c r="A84" s="1"/>
      <c r="B84" s="1"/>
      <c r="C84" s="64" t="s">
        <v>90</v>
      </c>
      <c r="D84" s="68"/>
      <c r="E84" s="324">
        <f ca="1">SUM(E81:E83)</f>
        <v>620</v>
      </c>
      <c r="F84" s="324">
        <f t="shared" ref="F84" ca="1" si="109">SUM(F81:F83)</f>
        <v>635</v>
      </c>
      <c r="G84" s="324">
        <f t="shared" ref="G84" ca="1" si="110">SUM(G81:G83)</f>
        <v>651</v>
      </c>
      <c r="H84" s="324">
        <f t="shared" ref="H84" ca="1" si="111">SUM(H81:H83)</f>
        <v>666</v>
      </c>
      <c r="I84" s="324">
        <f t="shared" ref="I84" ca="1" si="112">SUM(I81:I83)</f>
        <v>682</v>
      </c>
      <c r="J84" s="324">
        <f t="shared" ref="J84" ca="1" si="113">SUM(J81:J83)</f>
        <v>698</v>
      </c>
      <c r="K84" s="324">
        <f t="shared" ref="K84" ca="1" si="114">SUM(K81:K83)</f>
        <v>713</v>
      </c>
      <c r="L84" s="324">
        <f t="shared" ref="L84" ca="1" si="115">SUM(L81:L83)</f>
        <v>729</v>
      </c>
      <c r="M84" s="324">
        <f t="shared" ref="M84" ca="1" si="116">SUM(M81:M83)</f>
        <v>745</v>
      </c>
      <c r="N84" s="324">
        <f t="shared" ref="N84" ca="1" si="117">SUM(N81:N83)</f>
        <v>760</v>
      </c>
      <c r="O84" s="324">
        <f t="shared" ref="O84" ca="1" si="118">SUM(O81:O83)</f>
        <v>776</v>
      </c>
      <c r="P84" s="325">
        <f t="shared" ca="1" si="107"/>
        <v>776</v>
      </c>
    </row>
    <row r="85" spans="1:16" x14ac:dyDescent="0.3">
      <c r="A85" s="1"/>
      <c r="B85" s="1"/>
      <c r="C85" s="60" t="s">
        <v>122</v>
      </c>
      <c r="D85" s="68"/>
      <c r="E85" s="15">
        <f ca="1">ROUNDUP(E66/2,0)</f>
        <v>0</v>
      </c>
      <c r="F85" s="15">
        <f t="shared" ref="F85:O85" ca="1" si="119">ROUNDUP(F66/2,0)</f>
        <v>0</v>
      </c>
      <c r="G85" s="15">
        <f t="shared" ca="1" si="119"/>
        <v>0</v>
      </c>
      <c r="H85" s="15">
        <f t="shared" ca="1" si="119"/>
        <v>0</v>
      </c>
      <c r="I85" s="15">
        <f t="shared" ca="1" si="119"/>
        <v>0</v>
      </c>
      <c r="J85" s="15">
        <f t="shared" ca="1" si="119"/>
        <v>0</v>
      </c>
      <c r="K85" s="15">
        <f t="shared" ca="1" si="119"/>
        <v>0</v>
      </c>
      <c r="L85" s="15">
        <f t="shared" ca="1" si="119"/>
        <v>0</v>
      </c>
      <c r="M85" s="15">
        <f t="shared" ca="1" si="119"/>
        <v>0</v>
      </c>
      <c r="N85" s="15">
        <f t="shared" ca="1" si="119"/>
        <v>0</v>
      </c>
      <c r="O85" s="15">
        <f t="shared" ca="1" si="119"/>
        <v>0</v>
      </c>
      <c r="P85" s="78">
        <f ca="1">IF(O85=0,IF(N85=0,IF(M85=0,IF(L85=0,IF(K85=0,IF(J85=0,IF(I85=0,IF(H85=0,IF(G85=0,IF(F85=0,E85,F85),G85),H85),I85),J85),K85),L85),M85),N85),O85)</f>
        <v>0</v>
      </c>
    </row>
    <row r="86" spans="1:16" x14ac:dyDescent="0.3">
      <c r="A86" s="1"/>
      <c r="B86" s="1"/>
      <c r="C86" s="60" t="s">
        <v>801</v>
      </c>
      <c r="D86" s="68"/>
      <c r="E86" s="15">
        <f ca="1">ROUNDUP(E67/1,0)</f>
        <v>0</v>
      </c>
      <c r="F86" s="15">
        <f t="shared" ref="F86:O86" ca="1" si="120">ROUNDUP(F67/1,0)</f>
        <v>0</v>
      </c>
      <c r="G86" s="15">
        <f t="shared" ca="1" si="120"/>
        <v>0</v>
      </c>
      <c r="H86" s="15">
        <f t="shared" ca="1" si="120"/>
        <v>0</v>
      </c>
      <c r="I86" s="15">
        <f t="shared" ca="1" si="120"/>
        <v>0</v>
      </c>
      <c r="J86" s="15">
        <f t="shared" ca="1" si="120"/>
        <v>0</v>
      </c>
      <c r="K86" s="15">
        <f t="shared" ca="1" si="120"/>
        <v>0</v>
      </c>
      <c r="L86" s="15">
        <f t="shared" ca="1" si="120"/>
        <v>0</v>
      </c>
      <c r="M86" s="15">
        <f t="shared" ca="1" si="120"/>
        <v>0</v>
      </c>
      <c r="N86" s="15">
        <f t="shared" ca="1" si="120"/>
        <v>0</v>
      </c>
      <c r="O86" s="15">
        <f t="shared" ca="1" si="120"/>
        <v>0</v>
      </c>
      <c r="P86" s="78">
        <f t="shared" ref="P86:P92" ca="1" si="121">IF(O86=0,IF(N86=0,IF(M86=0,IF(L86=0,IF(K86=0,IF(J86=0,IF(I86=0,IF(H86=0,IF(G86=0,IF(F86=0,E86,F86),G86),H86),I86),J86),K86),L86),M86),N86),O86)</f>
        <v>0</v>
      </c>
    </row>
    <row r="87" spans="1:16" x14ac:dyDescent="0.3">
      <c r="A87" s="1"/>
      <c r="B87" s="1"/>
      <c r="C87" s="60" t="s">
        <v>802</v>
      </c>
      <c r="D87" s="68"/>
      <c r="E87" s="15">
        <f ca="1">ROUNDUP(E68/1,0)</f>
        <v>0</v>
      </c>
      <c r="F87" s="15">
        <f t="shared" ref="F87:O87" ca="1" si="122">ROUNDUP(F68/1,0)</f>
        <v>0</v>
      </c>
      <c r="G87" s="15">
        <f t="shared" ca="1" si="122"/>
        <v>0</v>
      </c>
      <c r="H87" s="15">
        <f t="shared" ca="1" si="122"/>
        <v>0</v>
      </c>
      <c r="I87" s="15">
        <f t="shared" ca="1" si="122"/>
        <v>0</v>
      </c>
      <c r="J87" s="15">
        <f t="shared" ca="1" si="122"/>
        <v>0</v>
      </c>
      <c r="K87" s="15">
        <f t="shared" ca="1" si="122"/>
        <v>0</v>
      </c>
      <c r="L87" s="15">
        <f t="shared" ca="1" si="122"/>
        <v>0</v>
      </c>
      <c r="M87" s="15">
        <f t="shared" ca="1" si="122"/>
        <v>0</v>
      </c>
      <c r="N87" s="15">
        <f t="shared" ca="1" si="122"/>
        <v>0</v>
      </c>
      <c r="O87" s="15">
        <f t="shared" ca="1" si="122"/>
        <v>0</v>
      </c>
      <c r="P87" s="78">
        <f t="shared" ca="1" si="121"/>
        <v>0</v>
      </c>
    </row>
    <row r="88" spans="1:16" x14ac:dyDescent="0.3">
      <c r="A88" s="1"/>
      <c r="B88" s="1"/>
      <c r="C88" s="64" t="s">
        <v>91</v>
      </c>
      <c r="D88" s="68"/>
      <c r="E88" s="324">
        <f ca="1">SUM(E85:E87)</f>
        <v>0</v>
      </c>
      <c r="F88" s="324">
        <f t="shared" ref="F88" ca="1" si="123">SUM(F85:F87)</f>
        <v>0</v>
      </c>
      <c r="G88" s="324">
        <f t="shared" ref="G88" ca="1" si="124">SUM(G85:G87)</f>
        <v>0</v>
      </c>
      <c r="H88" s="324">
        <f t="shared" ref="H88" ca="1" si="125">SUM(H85:H87)</f>
        <v>0</v>
      </c>
      <c r="I88" s="324">
        <f t="shared" ref="I88" ca="1" si="126">SUM(I85:I87)</f>
        <v>0</v>
      </c>
      <c r="J88" s="324">
        <f t="shared" ref="J88" ca="1" si="127">SUM(J85:J87)</f>
        <v>0</v>
      </c>
      <c r="K88" s="324">
        <f t="shared" ref="K88" ca="1" si="128">SUM(K85:K87)</f>
        <v>0</v>
      </c>
      <c r="L88" s="324">
        <f t="shared" ref="L88" ca="1" si="129">SUM(L85:L87)</f>
        <v>0</v>
      </c>
      <c r="M88" s="324">
        <f t="shared" ref="M88" ca="1" si="130">SUM(M85:M87)</f>
        <v>0</v>
      </c>
      <c r="N88" s="324">
        <f t="shared" ref="N88" ca="1" si="131">SUM(N85:N87)</f>
        <v>0</v>
      </c>
      <c r="O88" s="324">
        <f t="shared" ref="O88" ca="1" si="132">SUM(O85:O87)</f>
        <v>0</v>
      </c>
      <c r="P88" s="325">
        <f t="shared" ca="1" si="121"/>
        <v>0</v>
      </c>
    </row>
    <row r="89" spans="1:16" x14ac:dyDescent="0.3">
      <c r="A89" s="1"/>
      <c r="B89" s="1"/>
      <c r="C89" s="61" t="s">
        <v>92</v>
      </c>
      <c r="D89" s="69"/>
      <c r="E89" s="324">
        <f ca="1">E80+E84+E88</f>
        <v>620</v>
      </c>
      <c r="F89" s="324">
        <f t="shared" ref="F89" ca="1" si="133">F80+F84+F88</f>
        <v>635</v>
      </c>
      <c r="G89" s="324">
        <f t="shared" ref="G89" ca="1" si="134">G80+G84+G88</f>
        <v>651</v>
      </c>
      <c r="H89" s="324">
        <f t="shared" ref="H89" ca="1" si="135">H80+H84+H88</f>
        <v>666</v>
      </c>
      <c r="I89" s="324">
        <f t="shared" ref="I89" ca="1" si="136">I80+I84+I88</f>
        <v>682</v>
      </c>
      <c r="J89" s="324">
        <f t="shared" ref="J89" ca="1" si="137">J80+J84+J88</f>
        <v>698</v>
      </c>
      <c r="K89" s="324">
        <f t="shared" ref="K89" ca="1" si="138">K80+K84+K88</f>
        <v>713</v>
      </c>
      <c r="L89" s="324">
        <f t="shared" ref="L89" ca="1" si="139">L80+L84+L88</f>
        <v>729</v>
      </c>
      <c r="M89" s="324">
        <f t="shared" ref="M89" ca="1" si="140">M80+M84+M88</f>
        <v>745</v>
      </c>
      <c r="N89" s="324">
        <f t="shared" ref="N89" ca="1" si="141">N80+N84+N88</f>
        <v>760</v>
      </c>
      <c r="O89" s="324">
        <f t="shared" ref="O89" ca="1" si="142">O80+O84+O88</f>
        <v>776</v>
      </c>
      <c r="P89" s="325">
        <f t="shared" ca="1" si="121"/>
        <v>776</v>
      </c>
    </row>
    <row r="90" spans="1:16" x14ac:dyDescent="0.3">
      <c r="A90" s="1"/>
      <c r="B90" s="1"/>
      <c r="C90" s="63" t="s">
        <v>123</v>
      </c>
      <c r="D90" s="69"/>
      <c r="E90" s="324">
        <f ca="1">E77+E81+E85</f>
        <v>579</v>
      </c>
      <c r="F90" s="324">
        <f t="shared" ref="F90:O90" ca="1" si="143">F77+F81+F85</f>
        <v>594</v>
      </c>
      <c r="G90" s="324">
        <f t="shared" ca="1" si="143"/>
        <v>610</v>
      </c>
      <c r="H90" s="324">
        <f t="shared" ca="1" si="143"/>
        <v>625</v>
      </c>
      <c r="I90" s="324">
        <f t="shared" ca="1" si="143"/>
        <v>641</v>
      </c>
      <c r="J90" s="324">
        <f t="shared" ca="1" si="143"/>
        <v>657</v>
      </c>
      <c r="K90" s="324">
        <f t="shared" ca="1" si="143"/>
        <v>672</v>
      </c>
      <c r="L90" s="324">
        <f t="shared" ca="1" si="143"/>
        <v>688</v>
      </c>
      <c r="M90" s="324">
        <f t="shared" ca="1" si="143"/>
        <v>704</v>
      </c>
      <c r="N90" s="324">
        <f t="shared" ca="1" si="143"/>
        <v>719</v>
      </c>
      <c r="O90" s="324">
        <f t="shared" ca="1" si="143"/>
        <v>735</v>
      </c>
      <c r="P90" s="78">
        <f t="shared" ca="1" si="121"/>
        <v>735</v>
      </c>
    </row>
    <row r="91" spans="1:16" x14ac:dyDescent="0.3">
      <c r="A91" s="1"/>
      <c r="B91" s="1"/>
      <c r="C91" s="63" t="s">
        <v>124</v>
      </c>
      <c r="D91" s="69"/>
      <c r="E91" s="15">
        <f t="shared" ref="E91:O91" ca="1" si="144">E78+E82+E86</f>
        <v>41</v>
      </c>
      <c r="F91" s="15">
        <f t="shared" ca="1" si="144"/>
        <v>41</v>
      </c>
      <c r="G91" s="15">
        <f t="shared" ca="1" si="144"/>
        <v>41</v>
      </c>
      <c r="H91" s="15">
        <f t="shared" ca="1" si="144"/>
        <v>41</v>
      </c>
      <c r="I91" s="15">
        <f t="shared" ca="1" si="144"/>
        <v>41</v>
      </c>
      <c r="J91" s="15">
        <f t="shared" ca="1" si="144"/>
        <v>41</v>
      </c>
      <c r="K91" s="15">
        <f t="shared" ca="1" si="144"/>
        <v>41</v>
      </c>
      <c r="L91" s="15">
        <f t="shared" ca="1" si="144"/>
        <v>41</v>
      </c>
      <c r="M91" s="15">
        <f t="shared" ca="1" si="144"/>
        <v>41</v>
      </c>
      <c r="N91" s="15">
        <f t="shared" ca="1" si="144"/>
        <v>41</v>
      </c>
      <c r="O91" s="15">
        <f t="shared" ca="1" si="144"/>
        <v>41</v>
      </c>
      <c r="P91" s="78">
        <f t="shared" ca="1" si="121"/>
        <v>41</v>
      </c>
    </row>
    <row r="92" spans="1:16" ht="15" thickBot="1" x14ac:dyDescent="0.35">
      <c r="A92" s="1"/>
      <c r="B92" s="1"/>
      <c r="C92" s="63" t="s">
        <v>125</v>
      </c>
      <c r="D92" s="69"/>
      <c r="E92" s="15">
        <f t="shared" ref="E92:O92" ca="1" si="145">E79+E83+E87</f>
        <v>0</v>
      </c>
      <c r="F92" s="15">
        <f t="shared" ca="1" si="145"/>
        <v>0</v>
      </c>
      <c r="G92" s="15">
        <f t="shared" ca="1" si="145"/>
        <v>0</v>
      </c>
      <c r="H92" s="15">
        <f t="shared" ca="1" si="145"/>
        <v>0</v>
      </c>
      <c r="I92" s="15">
        <f t="shared" ca="1" si="145"/>
        <v>0</v>
      </c>
      <c r="J92" s="15">
        <f t="shared" ca="1" si="145"/>
        <v>0</v>
      </c>
      <c r="K92" s="15">
        <f t="shared" ca="1" si="145"/>
        <v>0</v>
      </c>
      <c r="L92" s="15">
        <f t="shared" ca="1" si="145"/>
        <v>0</v>
      </c>
      <c r="M92" s="15">
        <f t="shared" ca="1" si="145"/>
        <v>0</v>
      </c>
      <c r="N92" s="15">
        <f t="shared" ca="1" si="145"/>
        <v>0</v>
      </c>
      <c r="O92" s="15">
        <f t="shared" ca="1" si="145"/>
        <v>0</v>
      </c>
      <c r="P92" s="79">
        <f t="shared" ca="1" si="121"/>
        <v>0</v>
      </c>
    </row>
    <row r="93" spans="1:16" ht="14.55" customHeight="1" x14ac:dyDescent="0.3">
      <c r="P93"/>
    </row>
    <row r="94" spans="1:16" ht="14.55" customHeight="1" thickBot="1" x14ac:dyDescent="0.35">
      <c r="P94"/>
    </row>
    <row r="95" spans="1:16" s="67" customFormat="1" ht="15.6" x14ac:dyDescent="0.3">
      <c r="A95" s="62"/>
      <c r="B95" s="62" t="s">
        <v>312</v>
      </c>
      <c r="D95" s="65"/>
      <c r="E95" s="66">
        <v>0</v>
      </c>
      <c r="F95" s="66">
        <v>1</v>
      </c>
      <c r="G95" s="66">
        <v>2</v>
      </c>
      <c r="H95" s="66">
        <v>3</v>
      </c>
      <c r="I95" s="66">
        <v>4</v>
      </c>
      <c r="J95" s="66">
        <v>5</v>
      </c>
      <c r="K95" s="66">
        <v>6</v>
      </c>
      <c r="L95" s="66">
        <v>7</v>
      </c>
      <c r="M95" s="66">
        <v>8</v>
      </c>
      <c r="N95" s="66">
        <v>9</v>
      </c>
      <c r="O95" s="213">
        <v>10</v>
      </c>
      <c r="P95" s="214" t="s">
        <v>2</v>
      </c>
    </row>
    <row r="96" spans="1:16" x14ac:dyDescent="0.3">
      <c r="A96" s="1"/>
      <c r="B96" s="1"/>
      <c r="C96" s="60" t="s">
        <v>126</v>
      </c>
      <c r="D96" s="68"/>
      <c r="E96" s="15">
        <f ca="1">IFERROR(ROUNDUP(MIN(ROUNDUP('B. Implementation Plan'!E85/'B. Implementation Plan'!E95,0),ROUNDUP('B. Implementation Plan'!E96,0))*E58/'B. Implementation Plan'!E98,0),0)</f>
        <v>0</v>
      </c>
      <c r="F96" s="15">
        <f ca="1">IFERROR(ROUNDUP(MIN(ROUNDUP('B. Implementation Plan'!E85/'B. Implementation Plan'!E95,0),ROUNDUP('B. Implementation Plan'!E96,0))*F58/'B. Implementation Plan'!E98,0),0)</f>
        <v>0</v>
      </c>
      <c r="G96" s="15">
        <f ca="1">IFERROR(ROUNDUP(MIN(ROUNDUP('B. Implementation Plan'!E85/'B. Implementation Plan'!E95,0),ROUNDUP('B. Implementation Plan'!E96,0))*G58/'B. Implementation Plan'!E98,0),0)</f>
        <v>0</v>
      </c>
      <c r="H96" s="15">
        <f ca="1">IFERROR(ROUNDUP(MIN(ROUNDUP('B. Implementation Plan'!E85/'B. Implementation Plan'!E95,0),ROUNDUP('B. Implementation Plan'!E96,0))*H58/'B. Implementation Plan'!E98,0),0)</f>
        <v>0</v>
      </c>
      <c r="I96" s="15">
        <f ca="1">IFERROR(ROUNDUP(MIN(ROUNDUP('B. Implementation Plan'!E85/'B. Implementation Plan'!E95,0),ROUNDUP('B. Implementation Plan'!E96,0))*I58/'B. Implementation Plan'!E98,0),0)</f>
        <v>0</v>
      </c>
      <c r="J96" s="15">
        <f ca="1">IFERROR(ROUNDUP(MIN(ROUNDUP('B. Implementation Plan'!E85/'B. Implementation Plan'!E95,0),ROUNDUP('B. Implementation Plan'!E96,0))*J58/'B. Implementation Plan'!E98,0),0)</f>
        <v>0</v>
      </c>
      <c r="K96" s="15">
        <f ca="1">IFERROR(ROUNDUP(MIN(ROUNDUP('B. Implementation Plan'!E85/'B. Implementation Plan'!E95,0),ROUNDUP('B. Implementation Plan'!E96,0))*K58/'B. Implementation Plan'!E98,0),0)</f>
        <v>0</v>
      </c>
      <c r="L96" s="15">
        <f ca="1">IFERROR(ROUNDUP(MIN(ROUNDUP('B. Implementation Plan'!E85/'B. Implementation Plan'!E95,0),ROUNDUP('B. Implementation Plan'!E96,0))*L58/'B. Implementation Plan'!E98,0),0)</f>
        <v>0</v>
      </c>
      <c r="M96" s="15">
        <f ca="1">IFERROR(ROUNDUP(MIN(ROUNDUP('B. Implementation Plan'!E85/'B. Implementation Plan'!E95,0),ROUNDUP('B. Implementation Plan'!E96,0))*M58/'B. Implementation Plan'!E98,0),0)</f>
        <v>0</v>
      </c>
      <c r="N96" s="15">
        <f ca="1">IFERROR(ROUNDUP(MIN(ROUNDUP('B. Implementation Plan'!E85/'B. Implementation Plan'!E95,0),ROUNDUP('B. Implementation Plan'!E96,0))*N58/'B. Implementation Plan'!E98,0),0)</f>
        <v>0</v>
      </c>
      <c r="O96" s="15">
        <f ca="1">IFERROR(ROUNDUP(MIN(ROUNDUP('B. Implementation Plan'!E85/'B. Implementation Plan'!E95,0),ROUNDUP('B. Implementation Plan'!E96,0))*O58/'B. Implementation Plan'!E98,0),0)</f>
        <v>0</v>
      </c>
      <c r="P96" s="78">
        <f ca="1">IF(O96=0,IF(N96=0,IF(M96=0,IF(L96=0,IF(K96=0,IF(J96=0,IF(I96=0,IF(H96=0,IF(G96=0,IF(F96=0,E96,F96),G96),H96),I96),J96),K96),L96),M96),N96),O96)</f>
        <v>0</v>
      </c>
    </row>
    <row r="97" spans="1:16" x14ac:dyDescent="0.3">
      <c r="A97" s="1"/>
      <c r="B97" s="1"/>
      <c r="C97" s="60" t="s">
        <v>127</v>
      </c>
      <c r="D97" s="68"/>
      <c r="E97" s="15">
        <f ca="1">IFERROR(ROUNDUP(MIN(ROUNDUP('B. Implementation Plan'!E85/'B. Implementation Plan'!E95,0),ROUNDUP('B. Implementation Plan'!E96,0))*E59/'B. Implementation Plan'!E99,0),0)</f>
        <v>0</v>
      </c>
      <c r="F97" s="15">
        <f ca="1">IFERROR(ROUNDUP(MIN(ROUNDUP('B. Implementation Plan'!E85/'B. Implementation Plan'!E95,0),ROUNDUP('B. Implementation Plan'!E96,0))*F59/'B. Implementation Plan'!E99,0),0)</f>
        <v>0</v>
      </c>
      <c r="G97" s="15">
        <f ca="1">IFERROR(ROUNDUP(MIN(ROUNDUP('B. Implementation Plan'!E85/'B. Implementation Plan'!E95,0),ROUNDUP('B. Implementation Plan'!E96,0))*G59/'B. Implementation Plan'!E99,0),0)</f>
        <v>0</v>
      </c>
      <c r="H97" s="15">
        <f ca="1">IFERROR(ROUNDUP(MIN(ROUNDUP('B. Implementation Plan'!E85/'B. Implementation Plan'!E95,0),ROUNDUP('B. Implementation Plan'!E96,0))*H59/'B. Implementation Plan'!E99,0),0)</f>
        <v>0</v>
      </c>
      <c r="I97" s="15">
        <f ca="1">IFERROR(ROUNDUP(MIN(ROUNDUP('B. Implementation Plan'!E85/'B. Implementation Plan'!E95,0),ROUNDUP('B. Implementation Plan'!E96,0))*I59/'B. Implementation Plan'!E99,0),0)</f>
        <v>0</v>
      </c>
      <c r="J97" s="15">
        <f ca="1">IFERROR(ROUNDUP(MIN(ROUNDUP('B. Implementation Plan'!E85/'B. Implementation Plan'!E95,0),ROUNDUP('B. Implementation Plan'!E96,0))*J59/'B. Implementation Plan'!E99,0),0)</f>
        <v>0</v>
      </c>
      <c r="K97" s="15">
        <f ca="1">IFERROR(ROUNDUP(MIN(ROUNDUP('B. Implementation Plan'!E85/'B. Implementation Plan'!E95,0),ROUNDUP('B. Implementation Plan'!E96,0))*K59/'B. Implementation Plan'!E99,0),0)</f>
        <v>0</v>
      </c>
      <c r="L97" s="15">
        <f ca="1">IFERROR(ROUNDUP(MIN(ROUNDUP('B. Implementation Plan'!E85/'B. Implementation Plan'!E95,0),ROUNDUP('B. Implementation Plan'!E96,0))*L59/'B. Implementation Plan'!E99,0),0)</f>
        <v>0</v>
      </c>
      <c r="M97" s="15">
        <f ca="1">IFERROR(ROUNDUP(MIN(ROUNDUP('B. Implementation Plan'!E85/'B. Implementation Plan'!E95,0),ROUNDUP('B. Implementation Plan'!E96,0))*M59/'B. Implementation Plan'!E99,0),0)</f>
        <v>0</v>
      </c>
      <c r="N97" s="15">
        <f ca="1">IFERROR(ROUNDUP(MIN(ROUNDUP('B. Implementation Plan'!E85/'B. Implementation Plan'!E95,0),ROUNDUP('B. Implementation Plan'!E96,0))*N59/'B. Implementation Plan'!E99,0),0)</f>
        <v>0</v>
      </c>
      <c r="O97" s="15">
        <f ca="1">IFERROR(ROUNDUP(MIN(ROUNDUP('B. Implementation Plan'!E85/'B. Implementation Plan'!E95,0),ROUNDUP('B. Implementation Plan'!E96,0))*O59/'B. Implementation Plan'!E99,0),0)</f>
        <v>0</v>
      </c>
      <c r="P97" s="78">
        <f t="shared" ref="P97:P99" ca="1" si="146">IF(O97=0,IF(N97=0,IF(M97=0,IF(L97=0,IF(K97=0,IF(J97=0,IF(I97=0,IF(H97=0,IF(G97=0,IF(F97=0,E97,F97),G97),H97),I97),J97),K97),L97),M97),N97),O97)</f>
        <v>0</v>
      </c>
    </row>
    <row r="98" spans="1:16" x14ac:dyDescent="0.3">
      <c r="A98" s="1"/>
      <c r="B98" s="1"/>
      <c r="C98" s="60" t="s">
        <v>128</v>
      </c>
      <c r="D98" s="68"/>
      <c r="E98" s="15">
        <f ca="1">IFERROR(ROUNDUP(MIN(ROUNDUP('B. Implementation Plan'!E85/'B. Implementation Plan'!E95,0),ROUNDUP('B. Implementation Plan'!E96,0))*E60/'B. Implementation Plan'!E100,0),0)</f>
        <v>0</v>
      </c>
      <c r="F98" s="15">
        <f ca="1">IFERROR(ROUNDUP(MIN(ROUNDUP('B. Implementation Plan'!E85/'B. Implementation Plan'!E95,0),ROUNDUP('B. Implementation Plan'!E96,0))*F60/'B. Implementation Plan'!E100,0),0)</f>
        <v>0</v>
      </c>
      <c r="G98" s="15">
        <f ca="1">IFERROR(ROUNDUP(MIN(ROUNDUP('B. Implementation Plan'!E85/'B. Implementation Plan'!E95,0),ROUNDUP('B. Implementation Plan'!E96,0))*G60/'B. Implementation Plan'!E100,0),0)</f>
        <v>0</v>
      </c>
      <c r="H98" s="15">
        <f ca="1">IFERROR(ROUNDUP(MIN(ROUNDUP('B. Implementation Plan'!E85/'B. Implementation Plan'!E95,0),ROUNDUP('B. Implementation Plan'!E96,0))*H60/'B. Implementation Plan'!E100,0),0)</f>
        <v>0</v>
      </c>
      <c r="I98" s="15">
        <f ca="1">IFERROR(ROUNDUP(MIN(ROUNDUP('B. Implementation Plan'!E85/'B. Implementation Plan'!E95,0),ROUNDUP('B. Implementation Plan'!E96,0))*I60/'B. Implementation Plan'!E100,0),0)</f>
        <v>0</v>
      </c>
      <c r="J98" s="15">
        <f ca="1">IFERROR(ROUNDUP(MIN(ROUNDUP('B. Implementation Plan'!E85/'B. Implementation Plan'!E95,0),ROUNDUP('B. Implementation Plan'!E96,0))*J60/'B. Implementation Plan'!E100,0),0)</f>
        <v>0</v>
      </c>
      <c r="K98" s="15">
        <f ca="1">IFERROR(ROUNDUP(MIN(ROUNDUP('B. Implementation Plan'!E85/'B. Implementation Plan'!E95,0),ROUNDUP('B. Implementation Plan'!E96,0))*K60/'B. Implementation Plan'!E100,0),0)</f>
        <v>0</v>
      </c>
      <c r="L98" s="15">
        <f ca="1">IFERROR(ROUNDUP(MIN(ROUNDUP('B. Implementation Plan'!E85/'B. Implementation Plan'!E95,0),ROUNDUP('B. Implementation Plan'!E96,0))*L60/'B. Implementation Plan'!E100,0),0)</f>
        <v>0</v>
      </c>
      <c r="M98" s="15">
        <f ca="1">IFERROR(ROUNDUP(MIN(ROUNDUP('B. Implementation Plan'!E85/'B. Implementation Plan'!E95,0),ROUNDUP('B. Implementation Plan'!E96,0))*M60/'B. Implementation Plan'!E100,0),0)</f>
        <v>0</v>
      </c>
      <c r="N98" s="15">
        <f ca="1">IFERROR(ROUNDUP(MIN(ROUNDUP('B. Implementation Plan'!E85/'B. Implementation Plan'!E95,0),ROUNDUP('B. Implementation Plan'!E96,0))*N60/'B. Implementation Plan'!E100,0),0)</f>
        <v>0</v>
      </c>
      <c r="O98" s="15">
        <f ca="1">IFERROR(ROUNDUP(MIN(ROUNDUP('B. Implementation Plan'!E85/'B. Implementation Plan'!E95,0),ROUNDUP('B. Implementation Plan'!E96,0))*O60/'B. Implementation Plan'!E100,0),0)</f>
        <v>0</v>
      </c>
      <c r="P98" s="78">
        <f t="shared" ca="1" si="146"/>
        <v>0</v>
      </c>
    </row>
    <row r="99" spans="1:16" x14ac:dyDescent="0.3">
      <c r="A99" s="1"/>
      <c r="B99" s="1"/>
      <c r="C99" s="64" t="s">
        <v>93</v>
      </c>
      <c r="D99" s="68"/>
      <c r="E99" s="324">
        <f ca="1">SUM(E96:E98)</f>
        <v>0</v>
      </c>
      <c r="F99" s="324">
        <f t="shared" ref="F99:O99" ca="1" si="147">SUM(F96:F98)</f>
        <v>0</v>
      </c>
      <c r="G99" s="324">
        <f t="shared" ca="1" si="147"/>
        <v>0</v>
      </c>
      <c r="H99" s="324">
        <f t="shared" ca="1" si="147"/>
        <v>0</v>
      </c>
      <c r="I99" s="324">
        <f t="shared" ca="1" si="147"/>
        <v>0</v>
      </c>
      <c r="J99" s="324">
        <f t="shared" ca="1" si="147"/>
        <v>0</v>
      </c>
      <c r="K99" s="324">
        <f t="shared" ca="1" si="147"/>
        <v>0</v>
      </c>
      <c r="L99" s="324">
        <f t="shared" ca="1" si="147"/>
        <v>0</v>
      </c>
      <c r="M99" s="324">
        <f t="shared" ca="1" si="147"/>
        <v>0</v>
      </c>
      <c r="N99" s="324">
        <f t="shared" ca="1" si="147"/>
        <v>0</v>
      </c>
      <c r="O99" s="324">
        <f t="shared" ca="1" si="147"/>
        <v>0</v>
      </c>
      <c r="P99" s="325">
        <f t="shared" ca="1" si="146"/>
        <v>0</v>
      </c>
    </row>
    <row r="100" spans="1:16" x14ac:dyDescent="0.3">
      <c r="A100" s="1"/>
      <c r="B100" s="1"/>
      <c r="C100" s="60" t="s">
        <v>129</v>
      </c>
      <c r="D100" s="68"/>
      <c r="E100" s="15">
        <f ca="1">IFERROR(ROUNDUP(MIN(ROUNDUP('B. Implementation Plan'!E85/'B. Implementation Plan'!E95,0),ROUNDUP('B. Implementation Plan'!E96,0))*E62/'B. Implementation Plan'!E98,0),0)</f>
        <v>579</v>
      </c>
      <c r="F100" s="15">
        <f ca="1">IFERROR(ROUNDUP(MIN(ROUNDUP('B. Implementation Plan'!E85/'B. Implementation Plan'!E95,0),ROUNDUP('B. Implementation Plan'!E96,0))*F62/'B. Implementation Plan'!E98,0),0)</f>
        <v>594</v>
      </c>
      <c r="G100" s="15">
        <f ca="1">IFERROR(ROUNDUP(MIN(ROUNDUP('B. Implementation Plan'!E85/'B. Implementation Plan'!E95,0),ROUNDUP('B. Implementation Plan'!E96,0))*G62/'B. Implementation Plan'!E98,0),0)</f>
        <v>610</v>
      </c>
      <c r="H100" s="15">
        <f ca="1">IFERROR(ROUNDUP(MIN(ROUNDUP('B. Implementation Plan'!E85/'B. Implementation Plan'!E95,0),ROUNDUP('B. Implementation Plan'!E96,0))*H62/'B. Implementation Plan'!E98,0),0)</f>
        <v>625</v>
      </c>
      <c r="I100" s="15">
        <f ca="1">IFERROR(ROUNDUP(MIN(ROUNDUP('B. Implementation Plan'!E85/'B. Implementation Plan'!E95,0),ROUNDUP('B. Implementation Plan'!E96,0))*I62/'B. Implementation Plan'!E98,0),0)</f>
        <v>641</v>
      </c>
      <c r="J100" s="15">
        <f ca="1">IFERROR(ROUNDUP(MIN(ROUNDUP('B. Implementation Plan'!E85/'B. Implementation Plan'!E95,0),ROUNDUP('B. Implementation Plan'!E96,0))*J62/'B. Implementation Plan'!E98,0),0)</f>
        <v>657</v>
      </c>
      <c r="K100" s="15">
        <f ca="1">IFERROR(ROUNDUP(MIN(ROUNDUP('B. Implementation Plan'!E85/'B. Implementation Plan'!E95,0),ROUNDUP('B. Implementation Plan'!E96,0))*K62/'B. Implementation Plan'!E98,0),0)</f>
        <v>672</v>
      </c>
      <c r="L100" s="15">
        <f ca="1">IFERROR(ROUNDUP(MIN(ROUNDUP('B. Implementation Plan'!E85/'B. Implementation Plan'!E95,0),ROUNDUP('B. Implementation Plan'!E96,0))*L62/'B. Implementation Plan'!E98,0),0)</f>
        <v>688</v>
      </c>
      <c r="M100" s="15">
        <f ca="1">IFERROR(ROUNDUP(MIN(ROUNDUP('B. Implementation Plan'!E85/'B. Implementation Plan'!E95,0),ROUNDUP('B. Implementation Plan'!E96,0))*M62/'B. Implementation Plan'!E98,0),0)</f>
        <v>704</v>
      </c>
      <c r="N100" s="15">
        <f ca="1">IFERROR(ROUNDUP(MIN(ROUNDUP('B. Implementation Plan'!E85/'B. Implementation Plan'!E95,0),ROUNDUP('B. Implementation Plan'!E96,0))*N62/'B. Implementation Plan'!E98,0),0)</f>
        <v>719</v>
      </c>
      <c r="O100" s="15">
        <f ca="1">IFERROR(ROUNDUP(MIN(ROUNDUP('B. Implementation Plan'!E85/'B. Implementation Plan'!E95,0),ROUNDUP('B. Implementation Plan'!E96,0))*O62/'B. Implementation Plan'!E98,0),0)</f>
        <v>735</v>
      </c>
      <c r="P100" s="78">
        <f ca="1">IF(O100=0,IF(N100=0,IF(M100=0,IF(L100=0,IF(K100=0,IF(J100=0,IF(I100=0,IF(H100=0,IF(G100=0,IF(F100=0,E100,F100),G100),H100),I100),J100),K100),L100),M100),N100),O100)</f>
        <v>735</v>
      </c>
    </row>
    <row r="101" spans="1:16" x14ac:dyDescent="0.3">
      <c r="A101" s="1"/>
      <c r="B101" s="1"/>
      <c r="C101" s="60" t="s">
        <v>130</v>
      </c>
      <c r="D101" s="68"/>
      <c r="E101" s="15">
        <f ca="1">IFERROR(ROUNDUP(MIN(ROUNDUP('B. Implementation Plan'!E85/'B. Implementation Plan'!E95,0),ROUNDUP('B. Implementation Plan'!E96,0))*E63/'B. Implementation Plan'!E99,0),0)</f>
        <v>41</v>
      </c>
      <c r="F101" s="15">
        <f ca="1">IFERROR(ROUNDUP(MIN(ROUNDUP('B. Implementation Plan'!E85/'B. Implementation Plan'!E95,0),ROUNDUP('B. Implementation Plan'!E96,0))*F63/'B. Implementation Plan'!E99,0),0)</f>
        <v>41</v>
      </c>
      <c r="G101" s="15">
        <f ca="1">IFERROR(ROUNDUP(MIN(ROUNDUP('B. Implementation Plan'!E85/'B. Implementation Plan'!E95,0),ROUNDUP('B. Implementation Plan'!E96,0))*G63/'B. Implementation Plan'!E99,0),0)</f>
        <v>41</v>
      </c>
      <c r="H101" s="15">
        <f ca="1">IFERROR(ROUNDUP(MIN(ROUNDUP('B. Implementation Plan'!E85/'B. Implementation Plan'!E95,0),ROUNDUP('B. Implementation Plan'!E96,0))*H63/'B. Implementation Plan'!E99,0),0)</f>
        <v>41</v>
      </c>
      <c r="I101" s="15">
        <f ca="1">IFERROR(ROUNDUP(MIN(ROUNDUP('B. Implementation Plan'!E85/'B. Implementation Plan'!E95,0),ROUNDUP('B. Implementation Plan'!E96,0))*I63/'B. Implementation Plan'!E99,0),0)</f>
        <v>41</v>
      </c>
      <c r="J101" s="15">
        <f ca="1">IFERROR(ROUNDUP(MIN(ROUNDUP('B. Implementation Plan'!E85/'B. Implementation Plan'!E95,0),ROUNDUP('B. Implementation Plan'!E96,0))*J63/'B. Implementation Plan'!E99,0),0)</f>
        <v>41</v>
      </c>
      <c r="K101" s="15">
        <f ca="1">IFERROR(ROUNDUP(MIN(ROUNDUP('B. Implementation Plan'!E85/'B. Implementation Plan'!E95,0),ROUNDUP('B. Implementation Plan'!E96,0))*K63/'B. Implementation Plan'!E99,0),0)</f>
        <v>41</v>
      </c>
      <c r="L101" s="15">
        <f ca="1">IFERROR(ROUNDUP(MIN(ROUNDUP('B. Implementation Plan'!E85/'B. Implementation Plan'!E95,0),ROUNDUP('B. Implementation Plan'!E96,0))*L63/'B. Implementation Plan'!E99,0),0)</f>
        <v>41</v>
      </c>
      <c r="M101" s="15">
        <f ca="1">IFERROR(ROUNDUP(MIN(ROUNDUP('B. Implementation Plan'!E85/'B. Implementation Plan'!E95,0),ROUNDUP('B. Implementation Plan'!E96,0))*M63/'B. Implementation Plan'!E99,0),0)</f>
        <v>41</v>
      </c>
      <c r="N101" s="15">
        <f ca="1">IFERROR(ROUNDUP(MIN(ROUNDUP('B. Implementation Plan'!E85/'B. Implementation Plan'!E95,0),ROUNDUP('B. Implementation Plan'!E96,0))*N63/'B. Implementation Plan'!E99,0),0)</f>
        <v>41</v>
      </c>
      <c r="O101" s="15">
        <f ca="1">IFERROR(ROUNDUP(MIN(ROUNDUP('B. Implementation Plan'!E85/'B. Implementation Plan'!E95,0),ROUNDUP('B. Implementation Plan'!E96,0))*O63/'B. Implementation Plan'!E99,0),0)</f>
        <v>41</v>
      </c>
      <c r="P101" s="78">
        <f t="shared" ref="P101:P103" ca="1" si="148">IF(O101=0,IF(N101=0,IF(M101=0,IF(L101=0,IF(K101=0,IF(J101=0,IF(I101=0,IF(H101=0,IF(G101=0,IF(F101=0,E101,F101),G101),H101),I101),J101),K101),L101),M101),N101),O101)</f>
        <v>41</v>
      </c>
    </row>
    <row r="102" spans="1:16" x14ac:dyDescent="0.3">
      <c r="A102" s="1"/>
      <c r="B102" s="1"/>
      <c r="C102" s="60" t="s">
        <v>131</v>
      </c>
      <c r="D102" s="68"/>
      <c r="E102" s="15">
        <f ca="1">IFERROR(ROUNDUP(MIN(ROUNDUP('B. Implementation Plan'!E85/'B. Implementation Plan'!E95,0),ROUNDUP('B. Implementation Plan'!E96,0))*E64/'B. Implementation Plan'!E100,0),0)</f>
        <v>0</v>
      </c>
      <c r="F102" s="15">
        <f ca="1">IFERROR(ROUNDUP(MIN(ROUNDUP('B. Implementation Plan'!E85/'B. Implementation Plan'!E95,0),ROUNDUP('B. Implementation Plan'!E96,0))*F64/'B. Implementation Plan'!E100,0),0)</f>
        <v>0</v>
      </c>
      <c r="G102" s="15">
        <f ca="1">IFERROR(ROUNDUP(MIN(ROUNDUP('B. Implementation Plan'!E85/'B. Implementation Plan'!E95,0),ROUNDUP('B. Implementation Plan'!E96,0))*G64/'B. Implementation Plan'!E100,0),0)</f>
        <v>0</v>
      </c>
      <c r="H102" s="15">
        <f ca="1">IFERROR(ROUNDUP(MIN(ROUNDUP('B. Implementation Plan'!E85/'B. Implementation Plan'!E95,0),ROUNDUP('B. Implementation Plan'!E96,0))*H64/'B. Implementation Plan'!E100,0),0)</f>
        <v>0</v>
      </c>
      <c r="I102" s="15">
        <f ca="1">IFERROR(ROUNDUP(MIN(ROUNDUP('B. Implementation Plan'!E85/'B. Implementation Plan'!E95,0),ROUNDUP('B. Implementation Plan'!E96,0))*I64/'B. Implementation Plan'!E100,0),0)</f>
        <v>0</v>
      </c>
      <c r="J102" s="15">
        <f ca="1">IFERROR(ROUNDUP(MIN(ROUNDUP('B. Implementation Plan'!E85/'B. Implementation Plan'!E95,0),ROUNDUP('B. Implementation Plan'!E96,0))*J64/'B. Implementation Plan'!E100,0),0)</f>
        <v>0</v>
      </c>
      <c r="K102" s="15">
        <f ca="1">IFERROR(ROUNDUP(MIN(ROUNDUP('B. Implementation Plan'!E85/'B. Implementation Plan'!E95,0),ROUNDUP('B. Implementation Plan'!E96,0))*K64/'B. Implementation Plan'!E100,0),0)</f>
        <v>0</v>
      </c>
      <c r="L102" s="15">
        <f ca="1">IFERROR(ROUNDUP(MIN(ROUNDUP('B. Implementation Plan'!E85/'B. Implementation Plan'!E95,0),ROUNDUP('B. Implementation Plan'!E96,0))*L64/'B. Implementation Plan'!E100,0),0)</f>
        <v>0</v>
      </c>
      <c r="M102" s="15">
        <f ca="1">IFERROR(ROUNDUP(MIN(ROUNDUP('B. Implementation Plan'!E85/'B. Implementation Plan'!E95,0),ROUNDUP('B. Implementation Plan'!E96,0))*M64/'B. Implementation Plan'!E100,0),0)</f>
        <v>0</v>
      </c>
      <c r="N102" s="15">
        <f ca="1">IFERROR(ROUNDUP(MIN(ROUNDUP('B. Implementation Plan'!E85/'B. Implementation Plan'!E95,0),ROUNDUP('B. Implementation Plan'!E96,0))*N64/'B. Implementation Plan'!E100,0),0)</f>
        <v>0</v>
      </c>
      <c r="O102" s="15">
        <f ca="1">IFERROR(ROUNDUP(MIN(ROUNDUP('B. Implementation Plan'!E85/'B. Implementation Plan'!E95,0),ROUNDUP('B. Implementation Plan'!E96,0))*O64/'B. Implementation Plan'!E100,0),0)</f>
        <v>0</v>
      </c>
      <c r="P102" s="78">
        <f t="shared" ca="1" si="148"/>
        <v>0</v>
      </c>
    </row>
    <row r="103" spans="1:16" x14ac:dyDescent="0.3">
      <c r="A103" s="1"/>
      <c r="B103" s="1"/>
      <c r="C103" s="64" t="s">
        <v>94</v>
      </c>
      <c r="D103" s="68"/>
      <c r="E103" s="324">
        <f ca="1">SUM(E100:E102)</f>
        <v>620</v>
      </c>
      <c r="F103" s="324">
        <f t="shared" ref="F103" ca="1" si="149">SUM(F100:F102)</f>
        <v>635</v>
      </c>
      <c r="G103" s="324">
        <f t="shared" ref="G103" ca="1" si="150">SUM(G100:G102)</f>
        <v>651</v>
      </c>
      <c r="H103" s="324">
        <f t="shared" ref="H103" ca="1" si="151">SUM(H100:H102)</f>
        <v>666</v>
      </c>
      <c r="I103" s="324">
        <f t="shared" ref="I103" ca="1" si="152">SUM(I100:I102)</f>
        <v>682</v>
      </c>
      <c r="J103" s="324">
        <f t="shared" ref="J103" ca="1" si="153">SUM(J100:J102)</f>
        <v>698</v>
      </c>
      <c r="K103" s="324">
        <f t="shared" ref="K103" ca="1" si="154">SUM(K100:K102)</f>
        <v>713</v>
      </c>
      <c r="L103" s="324">
        <f t="shared" ref="L103" ca="1" si="155">SUM(L100:L102)</f>
        <v>729</v>
      </c>
      <c r="M103" s="324">
        <f t="shared" ref="M103" ca="1" si="156">SUM(M100:M102)</f>
        <v>745</v>
      </c>
      <c r="N103" s="324">
        <f t="shared" ref="N103" ca="1" si="157">SUM(N100:N102)</f>
        <v>760</v>
      </c>
      <c r="O103" s="324">
        <f t="shared" ref="O103" ca="1" si="158">SUM(O100:O102)</f>
        <v>776</v>
      </c>
      <c r="P103" s="325">
        <f t="shared" ca="1" si="148"/>
        <v>776</v>
      </c>
    </row>
    <row r="104" spans="1:16" x14ac:dyDescent="0.3">
      <c r="A104" s="1"/>
      <c r="B104" s="1"/>
      <c r="C104" s="60" t="s">
        <v>132</v>
      </c>
      <c r="D104" s="68"/>
      <c r="E104" s="15">
        <f ca="1">IFERROR(ROUNDUP(MIN(ROUNDUP('B. Implementation Plan'!E85/'B. Implementation Plan'!E95,0),ROUNDUP('B. Implementation Plan'!E96,0))*E66/'B. Implementation Plan'!E98,0),0)</f>
        <v>0</v>
      </c>
      <c r="F104" s="15">
        <f ca="1">IFERROR(ROUNDUP(MIN(ROUNDUP('B. Implementation Plan'!E85/'B. Implementation Plan'!E95,0),ROUNDUP('B. Implementation Plan'!E96,0))*F66/'B. Implementation Plan'!E98,0),0)</f>
        <v>0</v>
      </c>
      <c r="G104" s="15">
        <f ca="1">IFERROR(ROUNDUP(MIN(ROUNDUP('B. Implementation Plan'!E85/'B. Implementation Plan'!E95,0),ROUNDUP('B. Implementation Plan'!E96,0))*G66/'B. Implementation Plan'!E98,0),0)</f>
        <v>0</v>
      </c>
      <c r="H104" s="15">
        <f ca="1">IFERROR(ROUNDUP(MIN(ROUNDUP('B. Implementation Plan'!E85/'B. Implementation Plan'!E95,0),ROUNDUP('B. Implementation Plan'!E96,0))*H66/'B. Implementation Plan'!E98,0),0)</f>
        <v>0</v>
      </c>
      <c r="I104" s="15">
        <f ca="1">IFERROR(ROUNDUP(MIN(ROUNDUP('B. Implementation Plan'!E85/'B. Implementation Plan'!E95,0),ROUNDUP('B. Implementation Plan'!E96,0))*I66/'B. Implementation Plan'!E98,0),0)</f>
        <v>0</v>
      </c>
      <c r="J104" s="15">
        <f ca="1">IFERROR(ROUNDUP(MIN(ROUNDUP('B. Implementation Plan'!E85/'B. Implementation Plan'!E95,0),ROUNDUP('B. Implementation Plan'!E96,0))*J66/'B. Implementation Plan'!E98,0),0)</f>
        <v>0</v>
      </c>
      <c r="K104" s="15">
        <f ca="1">IFERROR(ROUNDUP(MIN(ROUNDUP('B. Implementation Plan'!E85/'B. Implementation Plan'!E95,0),ROUNDUP('B. Implementation Plan'!E96,0))*K66/'B. Implementation Plan'!E98,0),0)</f>
        <v>0</v>
      </c>
      <c r="L104" s="15">
        <f ca="1">IFERROR(ROUNDUP(MIN(ROUNDUP('B. Implementation Plan'!E85/'B. Implementation Plan'!E95,0),ROUNDUP('B. Implementation Plan'!E96,0))*L66/'B. Implementation Plan'!E98,0),0)</f>
        <v>0</v>
      </c>
      <c r="M104" s="15">
        <f ca="1">IFERROR(ROUNDUP(MIN(ROUNDUP('B. Implementation Plan'!E85/'B. Implementation Plan'!E95,0),ROUNDUP('B. Implementation Plan'!E96,0))*M66/'B. Implementation Plan'!E98,0),0)</f>
        <v>0</v>
      </c>
      <c r="N104" s="15">
        <f ca="1">IFERROR(ROUNDUP(MIN(ROUNDUP('B. Implementation Plan'!E85/'B. Implementation Plan'!E95,0),ROUNDUP('B. Implementation Plan'!E96,0))*N66/'B. Implementation Plan'!E98,0),0)</f>
        <v>0</v>
      </c>
      <c r="O104" s="15">
        <f ca="1">IFERROR(ROUNDUP(MIN(ROUNDUP('B. Implementation Plan'!E85/'B. Implementation Plan'!E95,0),ROUNDUP('B. Implementation Plan'!E96,0))*O66/'B. Implementation Plan'!E98,0),0)</f>
        <v>0</v>
      </c>
      <c r="P104" s="78">
        <f ca="1">IF(O104=0,IF(N104=0,IF(M104=0,IF(L104=0,IF(K104=0,IF(J104=0,IF(I104=0,IF(H104=0,IF(G104=0,IF(F104=0,E104,F104),G104),H104),I104),J104),K104),L104),M104),N104),O104)</f>
        <v>0</v>
      </c>
    </row>
    <row r="105" spans="1:16" x14ac:dyDescent="0.3">
      <c r="A105" s="1"/>
      <c r="B105" s="1"/>
      <c r="C105" s="60" t="s">
        <v>450</v>
      </c>
      <c r="D105" s="68"/>
      <c r="E105" s="15">
        <f ca="1">IFERROR(ROUNDUP(MIN(ROUNDUP('B. Implementation Plan'!E85/'B. Implementation Plan'!E95,0),ROUNDUP('B. Implementation Plan'!E96,0))*E67/'B. Implementation Plan'!E99,0),0)</f>
        <v>0</v>
      </c>
      <c r="F105" s="15">
        <f ca="1">IFERROR(ROUNDUP(MIN(ROUNDUP('B. Implementation Plan'!E85/'B. Implementation Plan'!E95,0),ROUNDUP('B. Implementation Plan'!E96,0))*F67/'B. Implementation Plan'!E99,0),0)</f>
        <v>0</v>
      </c>
      <c r="G105" s="15">
        <f ca="1">IFERROR(ROUNDUP(MIN(ROUNDUP('B. Implementation Plan'!E85/'B. Implementation Plan'!E95,0),ROUNDUP('B. Implementation Plan'!E96,0))*G67/'B. Implementation Plan'!E99,0),0)</f>
        <v>0</v>
      </c>
      <c r="H105" s="15">
        <f ca="1">IFERROR(ROUNDUP(MIN(ROUNDUP('B. Implementation Plan'!E85/'B. Implementation Plan'!E95,0),ROUNDUP('B. Implementation Plan'!E96,0))*H67/'B. Implementation Plan'!E99,0),0)</f>
        <v>0</v>
      </c>
      <c r="I105" s="15">
        <f ca="1">IFERROR(ROUNDUP(MIN(ROUNDUP('B. Implementation Plan'!E85/'B. Implementation Plan'!E95,0),ROUNDUP('B. Implementation Plan'!E96,0))*I67/'B. Implementation Plan'!E99,0),0)</f>
        <v>0</v>
      </c>
      <c r="J105" s="15">
        <f ca="1">IFERROR(ROUNDUP(MIN(ROUNDUP('B. Implementation Plan'!E85/'B. Implementation Plan'!E95,0),ROUNDUP('B. Implementation Plan'!E96,0))*J67/'B. Implementation Plan'!E99,0),0)</f>
        <v>0</v>
      </c>
      <c r="K105" s="15">
        <f ca="1">IFERROR(ROUNDUP(MIN(ROUNDUP('B. Implementation Plan'!E85/'B. Implementation Plan'!E95,0),ROUNDUP('B. Implementation Plan'!E96,0))*K67/'B. Implementation Plan'!E99,0),0)</f>
        <v>0</v>
      </c>
      <c r="L105" s="15">
        <f ca="1">IFERROR(ROUNDUP(MIN(ROUNDUP('B. Implementation Plan'!E85/'B. Implementation Plan'!E95,0),ROUNDUP('B. Implementation Plan'!E96,0))*L67/'B. Implementation Plan'!E99,0),0)</f>
        <v>0</v>
      </c>
      <c r="M105" s="15">
        <f ca="1">IFERROR(ROUNDUP(MIN(ROUNDUP('B. Implementation Plan'!E85/'B. Implementation Plan'!E95,0),ROUNDUP('B. Implementation Plan'!E96,0))*M67/'B. Implementation Plan'!E99,0),0)</f>
        <v>0</v>
      </c>
      <c r="N105" s="15">
        <f ca="1">IFERROR(ROUNDUP(MIN(ROUNDUP('B. Implementation Plan'!E85/'B. Implementation Plan'!E95,0),ROUNDUP('B. Implementation Plan'!E96,0))*N67/'B. Implementation Plan'!E99,0),0)</f>
        <v>0</v>
      </c>
      <c r="O105" s="15">
        <f ca="1">IFERROR(ROUNDUP(MIN(ROUNDUP('B. Implementation Plan'!E85/'B. Implementation Plan'!E95,0),ROUNDUP('B. Implementation Plan'!E96,0))*O67/'B. Implementation Plan'!E99,0),0)</f>
        <v>0</v>
      </c>
      <c r="P105" s="78">
        <f t="shared" ref="P105:P111" ca="1" si="159">IF(O105=0,IF(N105=0,IF(M105=0,IF(L105=0,IF(K105=0,IF(J105=0,IF(I105=0,IF(H105=0,IF(G105=0,IF(F105=0,E105,F105),G105),H105),I105),J105),K105),L105),M105),N105),O105)</f>
        <v>0</v>
      </c>
    </row>
    <row r="106" spans="1:16" x14ac:dyDescent="0.3">
      <c r="A106" s="1"/>
      <c r="B106" s="1"/>
      <c r="C106" s="60" t="s">
        <v>451</v>
      </c>
      <c r="D106" s="68"/>
      <c r="E106" s="15">
        <f ca="1">IFERROR(ROUNDUP(MIN(ROUNDUP('B. Implementation Plan'!E85/'B. Implementation Plan'!E95,0),ROUNDUP('B. Implementation Plan'!E96,0))*E68/'B. Implementation Plan'!E100,0),0)</f>
        <v>0</v>
      </c>
      <c r="F106" s="15">
        <f ca="1">IFERROR(ROUNDUP(MIN(ROUNDUP('B. Implementation Plan'!E85/'B. Implementation Plan'!E95,0),ROUNDUP('B. Implementation Plan'!E96,0))*F68/'B. Implementation Plan'!E100,0),0)</f>
        <v>0</v>
      </c>
      <c r="G106" s="15">
        <f ca="1">IFERROR(ROUNDUP(MIN(ROUNDUP('B. Implementation Plan'!E85/'B. Implementation Plan'!E95,0),ROUNDUP('B. Implementation Plan'!E96,0))*G68/'B. Implementation Plan'!E100,0),0)</f>
        <v>0</v>
      </c>
      <c r="H106" s="15">
        <f ca="1">IFERROR(ROUNDUP(MIN(ROUNDUP('B. Implementation Plan'!E85/'B. Implementation Plan'!E95,0),ROUNDUP('B. Implementation Plan'!E96,0))*H68/'B. Implementation Plan'!E100,0),0)</f>
        <v>0</v>
      </c>
      <c r="I106" s="15">
        <f ca="1">IFERROR(ROUNDUP(MIN(ROUNDUP('B. Implementation Plan'!E85/'B. Implementation Plan'!E95,0),ROUNDUP('B. Implementation Plan'!E96,0))*I68/'B. Implementation Plan'!E100,0),0)</f>
        <v>0</v>
      </c>
      <c r="J106" s="15">
        <f ca="1">IFERROR(ROUNDUP(MIN(ROUNDUP('B. Implementation Plan'!E85/'B. Implementation Plan'!E95,0),ROUNDUP('B. Implementation Plan'!E96,0))*J68/'B. Implementation Plan'!E100,0),0)</f>
        <v>0</v>
      </c>
      <c r="K106" s="15">
        <f ca="1">IFERROR(ROUNDUP(MIN(ROUNDUP('B. Implementation Plan'!E85/'B. Implementation Plan'!E95,0),ROUNDUP('B. Implementation Plan'!E96,0))*K68/'B. Implementation Plan'!E100,0),0)</f>
        <v>0</v>
      </c>
      <c r="L106" s="15">
        <f ca="1">IFERROR(ROUNDUP(MIN(ROUNDUP('B. Implementation Plan'!E85/'B. Implementation Plan'!E95,0),ROUNDUP('B. Implementation Plan'!E96,0))*L68/'B. Implementation Plan'!E100,0),0)</f>
        <v>0</v>
      </c>
      <c r="M106" s="15">
        <f ca="1">IFERROR(ROUNDUP(MIN(ROUNDUP('B. Implementation Plan'!E85/'B. Implementation Plan'!E95,0),ROUNDUP('B. Implementation Plan'!E96,0))*M68/'B. Implementation Plan'!E100,0),0)</f>
        <v>0</v>
      </c>
      <c r="N106" s="15">
        <f ca="1">IFERROR(ROUNDUP(MIN(ROUNDUP('B. Implementation Plan'!E85/'B. Implementation Plan'!E95,0),ROUNDUP('B. Implementation Plan'!E96,0))*N68/'B. Implementation Plan'!E100,0),0)</f>
        <v>0</v>
      </c>
      <c r="O106" s="15">
        <f ca="1">IFERROR(ROUNDUP(MIN(ROUNDUP('B. Implementation Plan'!E85/'B. Implementation Plan'!E95,0),ROUNDUP('B. Implementation Plan'!E96,0))*O68/'B. Implementation Plan'!E100,0),0)</f>
        <v>0</v>
      </c>
      <c r="P106" s="78">
        <f t="shared" ca="1" si="159"/>
        <v>0</v>
      </c>
    </row>
    <row r="107" spans="1:16" x14ac:dyDescent="0.3">
      <c r="A107" s="1"/>
      <c r="B107" s="1"/>
      <c r="C107" s="64" t="s">
        <v>95</v>
      </c>
      <c r="D107" s="68"/>
      <c r="E107" s="324">
        <f ca="1">SUM(E104:E106)</f>
        <v>0</v>
      </c>
      <c r="F107" s="324">
        <f t="shared" ref="F107" ca="1" si="160">SUM(F104:F106)</f>
        <v>0</v>
      </c>
      <c r="G107" s="324">
        <f t="shared" ref="G107" ca="1" si="161">SUM(G104:G106)</f>
        <v>0</v>
      </c>
      <c r="H107" s="324">
        <f t="shared" ref="H107" ca="1" si="162">SUM(H104:H106)</f>
        <v>0</v>
      </c>
      <c r="I107" s="324">
        <f t="shared" ref="I107" ca="1" si="163">SUM(I104:I106)</f>
        <v>0</v>
      </c>
      <c r="J107" s="324">
        <f t="shared" ref="J107" ca="1" si="164">SUM(J104:J106)</f>
        <v>0</v>
      </c>
      <c r="K107" s="324">
        <f t="shared" ref="K107" ca="1" si="165">SUM(K104:K106)</f>
        <v>0</v>
      </c>
      <c r="L107" s="324">
        <f t="shared" ref="L107" ca="1" si="166">SUM(L104:L106)</f>
        <v>0</v>
      </c>
      <c r="M107" s="324">
        <f t="shared" ref="M107" ca="1" si="167">SUM(M104:M106)</f>
        <v>0</v>
      </c>
      <c r="N107" s="324">
        <f t="shared" ref="N107" ca="1" si="168">SUM(N104:N106)</f>
        <v>0</v>
      </c>
      <c r="O107" s="324">
        <f t="shared" ref="O107" ca="1" si="169">SUM(O104:O106)</f>
        <v>0</v>
      </c>
      <c r="P107" s="325">
        <f t="shared" ca="1" si="159"/>
        <v>0</v>
      </c>
    </row>
    <row r="108" spans="1:16" x14ac:dyDescent="0.3">
      <c r="A108" s="1"/>
      <c r="B108" s="1"/>
      <c r="C108" s="61" t="s">
        <v>96</v>
      </c>
      <c r="D108" s="69"/>
      <c r="E108" s="324">
        <f ca="1">E99+E103+E107</f>
        <v>620</v>
      </c>
      <c r="F108" s="324">
        <f t="shared" ref="F108" ca="1" si="170">F99+F103+F107</f>
        <v>635</v>
      </c>
      <c r="G108" s="324">
        <f t="shared" ref="G108" ca="1" si="171">G99+G103+G107</f>
        <v>651</v>
      </c>
      <c r="H108" s="324">
        <f t="shared" ref="H108" ca="1" si="172">H99+H103+H107</f>
        <v>666</v>
      </c>
      <c r="I108" s="324">
        <f t="shared" ref="I108" ca="1" si="173">I99+I103+I107</f>
        <v>682</v>
      </c>
      <c r="J108" s="324">
        <f t="shared" ref="J108" ca="1" si="174">J99+J103+J107</f>
        <v>698</v>
      </c>
      <c r="K108" s="324">
        <f t="shared" ref="K108" ca="1" si="175">K99+K103+K107</f>
        <v>713</v>
      </c>
      <c r="L108" s="324">
        <f t="shared" ref="L108" ca="1" si="176">L99+L103+L107</f>
        <v>729</v>
      </c>
      <c r="M108" s="324">
        <f t="shared" ref="M108" ca="1" si="177">M99+M103+M107</f>
        <v>745</v>
      </c>
      <c r="N108" s="324">
        <f t="shared" ref="N108" ca="1" si="178">N99+N103+N107</f>
        <v>760</v>
      </c>
      <c r="O108" s="324">
        <f t="shared" ref="O108" ca="1" si="179">O99+O103+O107</f>
        <v>776</v>
      </c>
      <c r="P108" s="325">
        <f t="shared" ca="1" si="159"/>
        <v>776</v>
      </c>
    </row>
    <row r="109" spans="1:16" x14ac:dyDescent="0.3">
      <c r="A109" s="1"/>
      <c r="B109" s="1"/>
      <c r="C109" s="63" t="s">
        <v>133</v>
      </c>
      <c r="D109" s="69"/>
      <c r="E109" s="347">
        <f ca="1">E96+E100+E104</f>
        <v>579</v>
      </c>
      <c r="F109" s="347">
        <f t="shared" ref="F109:O109" ca="1" si="180">F96+F100+F104</f>
        <v>594</v>
      </c>
      <c r="G109" s="347">
        <f t="shared" ca="1" si="180"/>
        <v>610</v>
      </c>
      <c r="H109" s="347">
        <f t="shared" ca="1" si="180"/>
        <v>625</v>
      </c>
      <c r="I109" s="347">
        <f t="shared" ca="1" si="180"/>
        <v>641</v>
      </c>
      <c r="J109" s="347">
        <f t="shared" ca="1" si="180"/>
        <v>657</v>
      </c>
      <c r="K109" s="347">
        <f t="shared" ca="1" si="180"/>
        <v>672</v>
      </c>
      <c r="L109" s="347">
        <f t="shared" ca="1" si="180"/>
        <v>688</v>
      </c>
      <c r="M109" s="347">
        <f t="shared" ca="1" si="180"/>
        <v>704</v>
      </c>
      <c r="N109" s="347">
        <f t="shared" ca="1" si="180"/>
        <v>719</v>
      </c>
      <c r="O109" s="347">
        <f t="shared" ca="1" si="180"/>
        <v>735</v>
      </c>
      <c r="P109" s="78">
        <f t="shared" ca="1" si="159"/>
        <v>735</v>
      </c>
    </row>
    <row r="110" spans="1:16" x14ac:dyDescent="0.3">
      <c r="A110" s="1"/>
      <c r="B110" s="1"/>
      <c r="C110" s="63" t="s">
        <v>134</v>
      </c>
      <c r="D110" s="69"/>
      <c r="E110" s="15">
        <f t="shared" ref="E110:O110" ca="1" si="181">E97+E101+E105</f>
        <v>41</v>
      </c>
      <c r="F110" s="15">
        <f t="shared" ca="1" si="181"/>
        <v>41</v>
      </c>
      <c r="G110" s="15">
        <f t="shared" ca="1" si="181"/>
        <v>41</v>
      </c>
      <c r="H110" s="15">
        <f t="shared" ca="1" si="181"/>
        <v>41</v>
      </c>
      <c r="I110" s="15">
        <f t="shared" ca="1" si="181"/>
        <v>41</v>
      </c>
      <c r="J110" s="15">
        <f t="shared" ca="1" si="181"/>
        <v>41</v>
      </c>
      <c r="K110" s="15">
        <f t="shared" ca="1" si="181"/>
        <v>41</v>
      </c>
      <c r="L110" s="15">
        <f t="shared" ca="1" si="181"/>
        <v>41</v>
      </c>
      <c r="M110" s="15">
        <f t="shared" ca="1" si="181"/>
        <v>41</v>
      </c>
      <c r="N110" s="15">
        <f t="shared" ca="1" si="181"/>
        <v>41</v>
      </c>
      <c r="O110" s="15">
        <f t="shared" ca="1" si="181"/>
        <v>41</v>
      </c>
      <c r="P110" s="78">
        <f t="shared" ca="1" si="159"/>
        <v>41</v>
      </c>
    </row>
    <row r="111" spans="1:16" ht="15" thickBot="1" x14ac:dyDescent="0.35">
      <c r="A111" s="1"/>
      <c r="B111" s="1"/>
      <c r="C111" s="63" t="s">
        <v>135</v>
      </c>
      <c r="D111" s="69"/>
      <c r="E111" s="15">
        <f t="shared" ref="E111:O111" ca="1" si="182">E98+E102+E106</f>
        <v>0</v>
      </c>
      <c r="F111" s="15">
        <f t="shared" ca="1" si="182"/>
        <v>0</v>
      </c>
      <c r="G111" s="15">
        <f t="shared" ca="1" si="182"/>
        <v>0</v>
      </c>
      <c r="H111" s="15">
        <f t="shared" ca="1" si="182"/>
        <v>0</v>
      </c>
      <c r="I111" s="15">
        <f t="shared" ca="1" si="182"/>
        <v>0</v>
      </c>
      <c r="J111" s="15">
        <f t="shared" ca="1" si="182"/>
        <v>0</v>
      </c>
      <c r="K111" s="15">
        <f t="shared" ca="1" si="182"/>
        <v>0</v>
      </c>
      <c r="L111" s="15">
        <f t="shared" ca="1" si="182"/>
        <v>0</v>
      </c>
      <c r="M111" s="15">
        <f t="shared" ca="1" si="182"/>
        <v>0</v>
      </c>
      <c r="N111" s="15">
        <f t="shared" ca="1" si="182"/>
        <v>0</v>
      </c>
      <c r="O111" s="15">
        <f t="shared" ca="1" si="182"/>
        <v>0</v>
      </c>
      <c r="P111" s="79">
        <f t="shared" ca="1" si="159"/>
        <v>0</v>
      </c>
    </row>
    <row r="112" spans="1:16" x14ac:dyDescent="0.3">
      <c r="P112"/>
    </row>
    <row r="113" spans="1:16" ht="14.55" customHeight="1" thickBot="1" x14ac:dyDescent="0.35">
      <c r="P113"/>
    </row>
    <row r="114" spans="1:16" s="67" customFormat="1" ht="15.6" x14ac:dyDescent="0.3">
      <c r="A114" s="62"/>
      <c r="B114" s="62" t="s">
        <v>313</v>
      </c>
      <c r="D114" s="65"/>
      <c r="E114" s="66">
        <v>0</v>
      </c>
      <c r="F114" s="66">
        <v>1</v>
      </c>
      <c r="G114" s="66">
        <v>2</v>
      </c>
      <c r="H114" s="66">
        <v>3</v>
      </c>
      <c r="I114" s="66">
        <v>4</v>
      </c>
      <c r="J114" s="66">
        <v>5</v>
      </c>
      <c r="K114" s="66">
        <v>6</v>
      </c>
      <c r="L114" s="66">
        <v>7</v>
      </c>
      <c r="M114" s="66">
        <v>8</v>
      </c>
      <c r="N114" s="66">
        <v>9</v>
      </c>
      <c r="O114" s="213">
        <v>10</v>
      </c>
      <c r="P114" s="214" t="s">
        <v>2</v>
      </c>
    </row>
    <row r="115" spans="1:16" x14ac:dyDescent="0.3">
      <c r="A115" s="1"/>
      <c r="B115" s="1"/>
      <c r="C115" s="60" t="s">
        <v>136</v>
      </c>
      <c r="D115" s="68"/>
      <c r="E115" s="15">
        <f ca="1">IFERROR(ROUNDUP(MAX(ROUNDUP('B. Implementation Plan'!E85/'B. Implementation Plan'!E95,0)*E58/'B. Implementation Plan'!E98-E96,0),0),0)</f>
        <v>0</v>
      </c>
      <c r="F115" s="15">
        <f ca="1">IFERROR(ROUNDUP(MAX(ROUNDUP('B. Implementation Plan'!E85/'B. Implementation Plan'!E95,0)*F58/'B. Implementation Plan'!E98-F96,0),0),0)</f>
        <v>0</v>
      </c>
      <c r="G115" s="15">
        <f ca="1">IFERROR(ROUNDUP(MAX(ROUNDUP('B. Implementation Plan'!E85/'B. Implementation Plan'!E95,0)*G58/'B. Implementation Plan'!E98-G96,0),0),0)</f>
        <v>0</v>
      </c>
      <c r="H115" s="15">
        <f ca="1">IFERROR(ROUNDUP(MAX(ROUNDUP('B. Implementation Plan'!E85/'B. Implementation Plan'!E95,0)*H58/'B. Implementation Plan'!E98-H96,0),0),0)</f>
        <v>0</v>
      </c>
      <c r="I115" s="15">
        <f ca="1">IFERROR(ROUNDUP(MAX(ROUNDUP('B. Implementation Plan'!E85/'B. Implementation Plan'!E95,0)*I58/'B. Implementation Plan'!E98-I96,0),0),0)</f>
        <v>0</v>
      </c>
      <c r="J115" s="15">
        <f ca="1">IFERROR(ROUNDUP(MAX(ROUNDUP('B. Implementation Plan'!E85/'B. Implementation Plan'!E95,0)*J58/'B. Implementation Plan'!E98-J96,0),0),0)</f>
        <v>0</v>
      </c>
      <c r="K115" s="15">
        <f ca="1">IFERROR(ROUNDUP(MAX(ROUNDUP('B. Implementation Plan'!E85/'B. Implementation Plan'!E95,0)*K58/'B. Implementation Plan'!E98-K96,0),0),0)</f>
        <v>0</v>
      </c>
      <c r="L115" s="15">
        <f ca="1">IFERROR(ROUNDUP(MAX(ROUNDUP('B. Implementation Plan'!E85/'B. Implementation Plan'!E95,0)*L58/'B. Implementation Plan'!E98-L96,0),0),0)</f>
        <v>0</v>
      </c>
      <c r="M115" s="15">
        <f ca="1">IFERROR(ROUNDUP(MAX(ROUNDUP('B. Implementation Plan'!E85/'B. Implementation Plan'!E95,0)*M58/'B. Implementation Plan'!E98-M96,0),0),0)</f>
        <v>0</v>
      </c>
      <c r="N115" s="15">
        <f ca="1">IFERROR(ROUNDUP(MAX(ROUNDUP('B. Implementation Plan'!E85/'B. Implementation Plan'!E95,0)*N58/'B. Implementation Plan'!E98-N96,0),0),0)</f>
        <v>0</v>
      </c>
      <c r="O115" s="15">
        <f ca="1">IFERROR(ROUNDUP(MAX(ROUNDUP('B. Implementation Plan'!E85/'B. Implementation Plan'!E95,0)*O58/'B. Implementation Plan'!E98-O96,0),0),0)</f>
        <v>0</v>
      </c>
      <c r="P115" s="78">
        <f ca="1">IF(O115=0,IF(N115=0,IF(M115=0,IF(L115=0,IF(K115=0,IF(J115=0,IF(I115=0,IF(H115=0,IF(G115=0,IF(F115=0,E115,F115),G115),H115),I115),J115),K115),L115),M115),N115),O115)</f>
        <v>0</v>
      </c>
    </row>
    <row r="116" spans="1:16" x14ac:dyDescent="0.3">
      <c r="A116" s="1"/>
      <c r="B116" s="1"/>
      <c r="C116" s="60" t="s">
        <v>137</v>
      </c>
      <c r="D116" s="68"/>
      <c r="E116" s="15">
        <f ca="1">IFERROR(ROUNDUP(MAX(ROUNDUP('B. Implementation Plan'!E85/'B. Implementation Plan'!E95,0)*E59/'B. Implementation Plan'!E99-E97,0),0),0)</f>
        <v>0</v>
      </c>
      <c r="F116" s="15">
        <f ca="1">IFERROR(ROUNDUP(MAX(ROUNDUP('B. Implementation Plan'!E85/'B. Implementation Plan'!E95,0)*F59/'B. Implementation Plan'!E99-F97,0),0),0)</f>
        <v>0</v>
      </c>
      <c r="G116" s="15">
        <f ca="1">IFERROR(ROUNDUP(MAX(ROUNDUP('B. Implementation Plan'!E85/'B. Implementation Plan'!E95,0)*G59/'B. Implementation Plan'!E99-G97,0),0),0)</f>
        <v>0</v>
      </c>
      <c r="H116" s="15">
        <f ca="1">IFERROR(ROUNDUP(MAX(ROUNDUP('B. Implementation Plan'!E85/'B. Implementation Plan'!E95,0)*H59/'B. Implementation Plan'!E99-H97,0),0),0)</f>
        <v>0</v>
      </c>
      <c r="I116" s="15">
        <f ca="1">IFERROR(ROUNDUP(MAX(ROUNDUP('B. Implementation Plan'!E85/'B. Implementation Plan'!E95,0)*I59/'B. Implementation Plan'!E99-I97,0),0),0)</f>
        <v>0</v>
      </c>
      <c r="J116" s="15">
        <f ca="1">IFERROR(ROUNDUP(MAX(ROUNDUP('B. Implementation Plan'!E85/'B. Implementation Plan'!E95,0)*J59/'B. Implementation Plan'!E99-J97,0),0),0)</f>
        <v>0</v>
      </c>
      <c r="K116" s="15">
        <f ca="1">IFERROR(ROUNDUP(MAX(ROUNDUP('B. Implementation Plan'!E85/'B. Implementation Plan'!E95,0)*K59/'B. Implementation Plan'!E99-K97,0),0),0)</f>
        <v>0</v>
      </c>
      <c r="L116" s="15">
        <f ca="1">IFERROR(ROUNDUP(MAX(ROUNDUP('B. Implementation Plan'!E85/'B. Implementation Plan'!E95,0)*L59/'B. Implementation Plan'!E99-L97,0),0),0)</f>
        <v>0</v>
      </c>
      <c r="M116" s="15">
        <f ca="1">IFERROR(ROUNDUP(MAX(ROUNDUP('B. Implementation Plan'!E85/'B. Implementation Plan'!E95,0)*M59/'B. Implementation Plan'!E99-M97,0),0),0)</f>
        <v>0</v>
      </c>
      <c r="N116" s="15">
        <f ca="1">IFERROR(ROUNDUP(MAX(ROUNDUP('B. Implementation Plan'!E85/'B. Implementation Plan'!E95,0)*N59/'B. Implementation Plan'!E99-N97,0),0),0)</f>
        <v>0</v>
      </c>
      <c r="O116" s="15">
        <f ca="1">IFERROR(ROUNDUP(MAX(ROUNDUP('B. Implementation Plan'!E85/'B. Implementation Plan'!E95,0)*O59/'B. Implementation Plan'!E99-O97,0),0),0)</f>
        <v>0</v>
      </c>
      <c r="P116" s="78">
        <f t="shared" ref="P116:P118" ca="1" si="183">IF(O116=0,IF(N116=0,IF(M116=0,IF(L116=0,IF(K116=0,IF(J116=0,IF(I116=0,IF(H116=0,IF(G116=0,IF(F116=0,E116,F116),G116),H116),I116),J116),K116),L116),M116),N116),O116)</f>
        <v>0</v>
      </c>
    </row>
    <row r="117" spans="1:16" x14ac:dyDescent="0.3">
      <c r="A117" s="1"/>
      <c r="B117" s="1"/>
      <c r="C117" s="60" t="s">
        <v>138</v>
      </c>
      <c r="D117" s="68"/>
      <c r="E117" s="15">
        <f ca="1">IFERROR(ROUNDUP(MAX(ROUNDUP('B. Implementation Plan'!E85/'B. Implementation Plan'!E95,0)*E60/'B. Implementation Plan'!E100-E98,0),0),0)</f>
        <v>0</v>
      </c>
      <c r="F117" s="15">
        <f ca="1">IFERROR(ROUNDUP(MAX(ROUNDUP('B. Implementation Plan'!E85/'B. Implementation Plan'!E95,0)*F60/'B. Implementation Plan'!E100-F98,0),0),0)</f>
        <v>0</v>
      </c>
      <c r="G117" s="15">
        <f ca="1">IFERROR(ROUNDUP(MAX(ROUNDUP('B. Implementation Plan'!E85/'B. Implementation Plan'!E95,0)*G60/'B. Implementation Plan'!E100-G98,0),0),0)</f>
        <v>0</v>
      </c>
      <c r="H117" s="15">
        <f ca="1">IFERROR(ROUNDUP(MAX(ROUNDUP('B. Implementation Plan'!E85/'B. Implementation Plan'!E95,0)*H60/'B. Implementation Plan'!E100-H98,0),0),0)</f>
        <v>0</v>
      </c>
      <c r="I117" s="15">
        <f ca="1">IFERROR(ROUNDUP(MAX(ROUNDUP('B. Implementation Plan'!E85/'B. Implementation Plan'!E95,0)*I60/'B. Implementation Plan'!E100-I98,0),0),0)</f>
        <v>0</v>
      </c>
      <c r="J117" s="15">
        <f ca="1">IFERROR(ROUNDUP(MAX(ROUNDUP('B. Implementation Plan'!E85/'B. Implementation Plan'!E95,0)*J60/'B. Implementation Plan'!E100-J98,0),0),0)</f>
        <v>0</v>
      </c>
      <c r="K117" s="15">
        <f ca="1">IFERROR(ROUNDUP(MAX(ROUNDUP('B. Implementation Plan'!E85/'B. Implementation Plan'!E95,0)*K60/'B. Implementation Plan'!E100-K98,0),0),0)</f>
        <v>0</v>
      </c>
      <c r="L117" s="15">
        <f ca="1">IFERROR(ROUNDUP(MAX(ROUNDUP('B. Implementation Plan'!E85/'B. Implementation Plan'!E95,0)*L60/'B. Implementation Plan'!E100-L98,0),0),0)</f>
        <v>0</v>
      </c>
      <c r="M117" s="15">
        <f ca="1">IFERROR(ROUNDUP(MAX(ROUNDUP('B. Implementation Plan'!E85/'B. Implementation Plan'!E95,0)*M60/'B. Implementation Plan'!E100-M98,0),0),0)</f>
        <v>0</v>
      </c>
      <c r="N117" s="15">
        <f ca="1">IFERROR(ROUNDUP(MAX(ROUNDUP('B. Implementation Plan'!E85/'B. Implementation Plan'!E95,0)*N60/'B. Implementation Plan'!E100-N98,0),0),0)</f>
        <v>0</v>
      </c>
      <c r="O117" s="15">
        <f ca="1">IFERROR(ROUNDUP(MAX(ROUNDUP('B. Implementation Plan'!E85/'B. Implementation Plan'!E95,0)*O60/'B. Implementation Plan'!E100-O98,0),0),0)</f>
        <v>0</v>
      </c>
      <c r="P117" s="78">
        <f t="shared" ca="1" si="183"/>
        <v>0</v>
      </c>
    </row>
    <row r="118" spans="1:16" x14ac:dyDescent="0.3">
      <c r="A118" s="1"/>
      <c r="B118" s="1"/>
      <c r="C118" s="64" t="s">
        <v>139</v>
      </c>
      <c r="D118" s="68"/>
      <c r="E118" s="324">
        <f ca="1">SUM(E115:E117)</f>
        <v>0</v>
      </c>
      <c r="F118" s="324">
        <f t="shared" ref="F118" ca="1" si="184">SUM(F115:F117)</f>
        <v>0</v>
      </c>
      <c r="G118" s="324">
        <f t="shared" ref="G118" ca="1" si="185">SUM(G115:G117)</f>
        <v>0</v>
      </c>
      <c r="H118" s="324">
        <f t="shared" ref="H118" ca="1" si="186">SUM(H115:H117)</f>
        <v>0</v>
      </c>
      <c r="I118" s="324">
        <f t="shared" ref="I118" ca="1" si="187">SUM(I115:I117)</f>
        <v>0</v>
      </c>
      <c r="J118" s="324">
        <f t="shared" ref="J118" ca="1" si="188">SUM(J115:J117)</f>
        <v>0</v>
      </c>
      <c r="K118" s="324">
        <f t="shared" ref="K118" ca="1" si="189">SUM(K115:K117)</f>
        <v>0</v>
      </c>
      <c r="L118" s="324">
        <f t="shared" ref="L118" ca="1" si="190">SUM(L115:L117)</f>
        <v>0</v>
      </c>
      <c r="M118" s="324">
        <f t="shared" ref="M118" ca="1" si="191">SUM(M115:M117)</f>
        <v>0</v>
      </c>
      <c r="N118" s="324">
        <f t="shared" ref="N118" ca="1" si="192">SUM(N115:N117)</f>
        <v>0</v>
      </c>
      <c r="O118" s="324">
        <f t="shared" ref="O118" ca="1" si="193">SUM(O115:O117)</f>
        <v>0</v>
      </c>
      <c r="P118" s="325">
        <f t="shared" ca="1" si="183"/>
        <v>0</v>
      </c>
    </row>
    <row r="119" spans="1:16" x14ac:dyDescent="0.3">
      <c r="A119" s="1"/>
      <c r="B119" s="1"/>
      <c r="C119" s="60" t="s">
        <v>140</v>
      </c>
      <c r="D119" s="68"/>
      <c r="E119" s="15">
        <f ca="1">IFERROR(ROUNDUP(MAX(ROUNDUP('B. Implementation Plan'!E85/'B. Implementation Plan'!E95,0)*E62/'B. Implementation Plan'!E98-E100,0),0),0)</f>
        <v>578</v>
      </c>
      <c r="F119" s="15">
        <f ca="1">IFERROR(ROUNDUP(MAX(ROUNDUP('B. Implementation Plan'!E85/'B. Implementation Plan'!E95,0)*F62/'B. Implementation Plan'!E98-F100,0),0),0)</f>
        <v>594</v>
      </c>
      <c r="G119" s="15">
        <f ca="1">IFERROR(ROUNDUP(MAX(ROUNDUP('B. Implementation Plan'!E85/'B. Implementation Plan'!E95,0)*G62/'B. Implementation Plan'!E98-G100,0),0),0)</f>
        <v>609</v>
      </c>
      <c r="H119" s="15">
        <f ca="1">IFERROR(ROUNDUP(MAX(ROUNDUP('B. Implementation Plan'!E85/'B. Implementation Plan'!E95,0)*H62/'B. Implementation Plan'!E98-H100,0),0),0)</f>
        <v>625</v>
      </c>
      <c r="I119" s="15">
        <f ca="1">IFERROR(ROUNDUP(MAX(ROUNDUP('B. Implementation Plan'!E85/'B. Implementation Plan'!E95,0)*I62/'B. Implementation Plan'!E98-I100,0),0),0)</f>
        <v>641</v>
      </c>
      <c r="J119" s="15">
        <f ca="1">IFERROR(ROUNDUP(MAX(ROUNDUP('B. Implementation Plan'!E85/'B. Implementation Plan'!E95,0)*J62/'B. Implementation Plan'!E98-J100,0),0),0)</f>
        <v>656</v>
      </c>
      <c r="K119" s="15">
        <f ca="1">IFERROR(ROUNDUP(MAX(ROUNDUP('B. Implementation Plan'!E85/'B. Implementation Plan'!E95,0)*K62/'B. Implementation Plan'!E98-K100,0),0),0)</f>
        <v>672</v>
      </c>
      <c r="L119" s="15">
        <f ca="1">IFERROR(ROUNDUP(MAX(ROUNDUP('B. Implementation Plan'!E85/'B. Implementation Plan'!E95,0)*L62/'B. Implementation Plan'!E98-L100,0),0),0)</f>
        <v>687</v>
      </c>
      <c r="M119" s="15">
        <f ca="1">IFERROR(ROUNDUP(MAX(ROUNDUP('B. Implementation Plan'!E85/'B. Implementation Plan'!E95,0)*M62/'B. Implementation Plan'!E98-M100,0),0),0)</f>
        <v>703</v>
      </c>
      <c r="N119" s="15">
        <f ca="1">IFERROR(ROUNDUP(MAX(ROUNDUP('B. Implementation Plan'!E85/'B. Implementation Plan'!E95,0)*N62/'B. Implementation Plan'!E98-N100,0),0),0)</f>
        <v>719</v>
      </c>
      <c r="O119" s="15">
        <f ca="1">IFERROR(ROUNDUP(MAX(ROUNDUP('B. Implementation Plan'!E85/'B. Implementation Plan'!E95,0)*O62/'B. Implementation Plan'!E98-O100,0),0),0)</f>
        <v>734</v>
      </c>
      <c r="P119" s="78">
        <f ca="1">IF(O119=0,IF(N119=0,IF(M119=0,IF(L119=0,IF(K119=0,IF(J119=0,IF(I119=0,IF(H119=0,IF(G119=0,IF(F119=0,E119,F119),G119),H119),I119),J119),K119),L119),M119),N119),O119)</f>
        <v>734</v>
      </c>
    </row>
    <row r="120" spans="1:16" x14ac:dyDescent="0.3">
      <c r="A120" s="1"/>
      <c r="B120" s="1"/>
      <c r="C120" s="60" t="s">
        <v>141</v>
      </c>
      <c r="D120" s="68"/>
      <c r="E120" s="15">
        <f ca="1">IFERROR(ROUNDUP(MAX(ROUNDUP('B. Implementation Plan'!E85/'B. Implementation Plan'!E95,0)*E63/'B. Implementation Plan'!E99-E101,0),0),0)</f>
        <v>41</v>
      </c>
      <c r="F120" s="15">
        <f ca="1">IFERROR(ROUNDUP(MAX(ROUNDUP('B. Implementation Plan'!E85/'B. Implementation Plan'!E95,0)*F63/'B. Implementation Plan'!E99-F101,0),0),0)</f>
        <v>41</v>
      </c>
      <c r="G120" s="15">
        <f ca="1">IFERROR(ROUNDUP(MAX(ROUNDUP('B. Implementation Plan'!E85/'B. Implementation Plan'!E95,0)*G63/'B. Implementation Plan'!E99-G101,0),0),0)</f>
        <v>41</v>
      </c>
      <c r="H120" s="15">
        <f ca="1">IFERROR(ROUNDUP(MAX(ROUNDUP('B. Implementation Plan'!E85/'B. Implementation Plan'!E95,0)*H63/'B. Implementation Plan'!E99-H101,0),0),0)</f>
        <v>41</v>
      </c>
      <c r="I120" s="15">
        <f ca="1">IFERROR(ROUNDUP(MAX(ROUNDUP('B. Implementation Plan'!E85/'B. Implementation Plan'!E95,0)*I63/'B. Implementation Plan'!E99-I101,0),0),0)</f>
        <v>41</v>
      </c>
      <c r="J120" s="15">
        <f ca="1">IFERROR(ROUNDUP(MAX(ROUNDUP('B. Implementation Plan'!E85/'B. Implementation Plan'!E95,0)*J63/'B. Implementation Plan'!E99-J101,0),0),0)</f>
        <v>41</v>
      </c>
      <c r="K120" s="15">
        <f ca="1">IFERROR(ROUNDUP(MAX(ROUNDUP('B. Implementation Plan'!E85/'B. Implementation Plan'!E95,0)*K63/'B. Implementation Plan'!E99-K101,0),0),0)</f>
        <v>41</v>
      </c>
      <c r="L120" s="15">
        <f ca="1">IFERROR(ROUNDUP(MAX(ROUNDUP('B. Implementation Plan'!E85/'B. Implementation Plan'!E95,0)*L63/'B. Implementation Plan'!E99-L101,0),0),0)</f>
        <v>41</v>
      </c>
      <c r="M120" s="15">
        <f ca="1">IFERROR(ROUNDUP(MAX(ROUNDUP('B. Implementation Plan'!E85/'B. Implementation Plan'!E95,0)*M63/'B. Implementation Plan'!E99-M101,0),0),0)</f>
        <v>41</v>
      </c>
      <c r="N120" s="15">
        <f ca="1">IFERROR(ROUNDUP(MAX(ROUNDUP('B. Implementation Plan'!E85/'B. Implementation Plan'!E95,0)*N63/'B. Implementation Plan'!E99-N101,0),0),0)</f>
        <v>41</v>
      </c>
      <c r="O120" s="15">
        <f ca="1">IFERROR(ROUNDUP(MAX(ROUNDUP('B. Implementation Plan'!E85/'B. Implementation Plan'!E95,0)*O63/'B. Implementation Plan'!E99-O101,0),0),0)</f>
        <v>41</v>
      </c>
      <c r="P120" s="78">
        <f t="shared" ref="P120:P122" ca="1" si="194">IF(O120=0,IF(N120=0,IF(M120=0,IF(L120=0,IF(K120=0,IF(J120=0,IF(I120=0,IF(H120=0,IF(G120=0,IF(F120=0,E120,F120),G120),H120),I120),J120),K120),L120),M120),N120),O120)</f>
        <v>41</v>
      </c>
    </row>
    <row r="121" spans="1:16" x14ac:dyDescent="0.3">
      <c r="A121" s="1"/>
      <c r="B121" s="1"/>
      <c r="C121" s="60" t="s">
        <v>142</v>
      </c>
      <c r="D121" s="68"/>
      <c r="E121" s="15">
        <f ca="1">IFERROR(ROUNDUP(MAX(ROUNDUP('B. Implementation Plan'!E85/'B. Implementation Plan'!E95,0)*E64/'B. Implementation Plan'!E100-E102,0),0),0)</f>
        <v>0</v>
      </c>
      <c r="F121" s="15">
        <f ca="1">IFERROR(ROUNDUP(MAX(ROUNDUP('B. Implementation Plan'!E85/'B. Implementation Plan'!E95,0)*F64/'B. Implementation Plan'!E100-F102,0),0),0)</f>
        <v>0</v>
      </c>
      <c r="G121" s="15">
        <f ca="1">IFERROR(ROUNDUP(MAX(ROUNDUP('B. Implementation Plan'!E85/'B. Implementation Plan'!E95,0)*G64/'B. Implementation Plan'!E100-G102,0),0),0)</f>
        <v>0</v>
      </c>
      <c r="H121" s="15">
        <f ca="1">IFERROR(ROUNDUP(MAX(ROUNDUP('B. Implementation Plan'!E85/'B. Implementation Plan'!E95,0)*H64/'B. Implementation Plan'!E100-H102,0),0),0)</f>
        <v>0</v>
      </c>
      <c r="I121" s="15">
        <f ca="1">IFERROR(ROUNDUP(MAX(ROUNDUP('B. Implementation Plan'!E85/'B. Implementation Plan'!E95,0)*I64/'B. Implementation Plan'!E100-I102,0),0),0)</f>
        <v>0</v>
      </c>
      <c r="J121" s="15">
        <f ca="1">IFERROR(ROUNDUP(MAX(ROUNDUP('B. Implementation Plan'!E85/'B. Implementation Plan'!E95,0)*J64/'B. Implementation Plan'!E100-J102,0),0),0)</f>
        <v>0</v>
      </c>
      <c r="K121" s="15">
        <f ca="1">IFERROR(ROUNDUP(MAX(ROUNDUP('B. Implementation Plan'!E85/'B. Implementation Plan'!E95,0)*K64/'B. Implementation Plan'!E100-K102,0),0),0)</f>
        <v>0</v>
      </c>
      <c r="L121" s="15">
        <f ca="1">IFERROR(ROUNDUP(MAX(ROUNDUP('B. Implementation Plan'!E85/'B. Implementation Plan'!E95,0)*L64/'B. Implementation Plan'!E100-L102,0),0),0)</f>
        <v>0</v>
      </c>
      <c r="M121" s="15">
        <f ca="1">IFERROR(ROUNDUP(MAX(ROUNDUP('B. Implementation Plan'!E85/'B. Implementation Plan'!E95,0)*M64/'B. Implementation Plan'!E100-M102,0),0),0)</f>
        <v>0</v>
      </c>
      <c r="N121" s="15">
        <f ca="1">IFERROR(ROUNDUP(MAX(ROUNDUP('B. Implementation Plan'!E85/'B. Implementation Plan'!E95,0)*N64/'B. Implementation Plan'!E100-N102,0),0),0)</f>
        <v>0</v>
      </c>
      <c r="O121" s="15">
        <f ca="1">IFERROR(ROUNDUP(MAX(ROUNDUP('B. Implementation Plan'!E85/'B. Implementation Plan'!E95,0)*O64/'B. Implementation Plan'!E100-O102,0),0),0)</f>
        <v>0</v>
      </c>
      <c r="P121" s="78">
        <f t="shared" ca="1" si="194"/>
        <v>0</v>
      </c>
    </row>
    <row r="122" spans="1:16" x14ac:dyDescent="0.3">
      <c r="A122" s="1"/>
      <c r="B122" s="1"/>
      <c r="C122" s="64" t="s">
        <v>143</v>
      </c>
      <c r="D122" s="68"/>
      <c r="E122" s="324">
        <f ca="1">SUM(E119:E121)</f>
        <v>619</v>
      </c>
      <c r="F122" s="324">
        <f t="shared" ref="F122" ca="1" si="195">SUM(F119:F121)</f>
        <v>635</v>
      </c>
      <c r="G122" s="324">
        <f t="shared" ref="G122" ca="1" si="196">SUM(G119:G121)</f>
        <v>650</v>
      </c>
      <c r="H122" s="324">
        <f t="shared" ref="H122" ca="1" si="197">SUM(H119:H121)</f>
        <v>666</v>
      </c>
      <c r="I122" s="324">
        <f t="shared" ref="I122" ca="1" si="198">SUM(I119:I121)</f>
        <v>682</v>
      </c>
      <c r="J122" s="324">
        <f t="shared" ref="J122" ca="1" si="199">SUM(J119:J121)</f>
        <v>697</v>
      </c>
      <c r="K122" s="324">
        <f t="shared" ref="K122" ca="1" si="200">SUM(K119:K121)</f>
        <v>713</v>
      </c>
      <c r="L122" s="324">
        <f t="shared" ref="L122" ca="1" si="201">SUM(L119:L121)</f>
        <v>728</v>
      </c>
      <c r="M122" s="324">
        <f t="shared" ref="M122" ca="1" si="202">SUM(M119:M121)</f>
        <v>744</v>
      </c>
      <c r="N122" s="324">
        <f t="shared" ref="N122" ca="1" si="203">SUM(N119:N121)</f>
        <v>760</v>
      </c>
      <c r="O122" s="324">
        <f t="shared" ref="O122" ca="1" si="204">SUM(O119:O121)</f>
        <v>775</v>
      </c>
      <c r="P122" s="325">
        <f t="shared" ca="1" si="194"/>
        <v>775</v>
      </c>
    </row>
    <row r="123" spans="1:16" x14ac:dyDescent="0.3">
      <c r="A123" s="1"/>
      <c r="B123" s="1"/>
      <c r="C123" s="60" t="s">
        <v>144</v>
      </c>
      <c r="D123" s="68"/>
      <c r="E123" s="15">
        <f ca="1">IFERROR(ROUNDUP(MAX(ROUNDUP('B. Implementation Plan'!E85/'B. Implementation Plan'!E95,0)*E66/'B. Implementation Plan'!E98-E104,0),0),0)</f>
        <v>0</v>
      </c>
      <c r="F123" s="15">
        <f ca="1">IFERROR(ROUNDUP(MAX(ROUNDUP('B. Implementation Plan'!E85/'B. Implementation Plan'!E95,0)*F66/'B. Implementation Plan'!E98-F104,0),0),0)</f>
        <v>0</v>
      </c>
      <c r="G123" s="15">
        <f ca="1">IFERROR(ROUNDUP(MAX(ROUNDUP('B. Implementation Plan'!E85/'B. Implementation Plan'!E95,0)*G66/'B. Implementation Plan'!E98-G104,0),0),0)</f>
        <v>0</v>
      </c>
      <c r="H123" s="15">
        <f ca="1">IFERROR(ROUNDUP(MAX(ROUNDUP('B. Implementation Plan'!E85/'B. Implementation Plan'!E95,0)*H66/'B. Implementation Plan'!E98-H104,0),0),0)</f>
        <v>0</v>
      </c>
      <c r="I123" s="15">
        <f ca="1">IFERROR(ROUNDUP(MAX(ROUNDUP('B. Implementation Plan'!E85/'B. Implementation Plan'!E95,0)*I66/'B. Implementation Plan'!E98-I104,0),0),0)</f>
        <v>0</v>
      </c>
      <c r="J123" s="15">
        <f ca="1">IFERROR(ROUNDUP(MAX(ROUNDUP('B. Implementation Plan'!E85/'B. Implementation Plan'!E95,0)*J66/'B. Implementation Plan'!E98-J104,0),0),0)</f>
        <v>0</v>
      </c>
      <c r="K123" s="15">
        <f ca="1">IFERROR(ROUNDUP(MAX(ROUNDUP('B. Implementation Plan'!E85/'B. Implementation Plan'!E95,0)*K66/'B. Implementation Plan'!E98-K104,0),0),0)</f>
        <v>0</v>
      </c>
      <c r="L123" s="15">
        <f ca="1">IFERROR(ROUNDUP(MAX(ROUNDUP('B. Implementation Plan'!E85/'B. Implementation Plan'!E95,0)*L66/'B. Implementation Plan'!E98-L104,0),0),0)</f>
        <v>0</v>
      </c>
      <c r="M123" s="15">
        <f ca="1">IFERROR(ROUNDUP(MAX(ROUNDUP('B. Implementation Plan'!E85/'B. Implementation Plan'!E95,0)*M66/'B. Implementation Plan'!E98-M104,0),0),0)</f>
        <v>0</v>
      </c>
      <c r="N123" s="15">
        <f ca="1">IFERROR(ROUNDUP(MAX(ROUNDUP('B. Implementation Plan'!E85/'B. Implementation Plan'!E95,0)*N66/'B. Implementation Plan'!E98-N104,0),0),0)</f>
        <v>0</v>
      </c>
      <c r="O123" s="15">
        <f ca="1">IFERROR(ROUNDUP(MAX(ROUNDUP('B. Implementation Plan'!E85/'B. Implementation Plan'!E95,0)*O66/'B. Implementation Plan'!E98-O104,0),0),0)</f>
        <v>0</v>
      </c>
      <c r="P123" s="78">
        <f ca="1">IF(O123=0,IF(N123=0,IF(M123=0,IF(L123=0,IF(K123=0,IF(J123=0,IF(I123=0,IF(H123=0,IF(G123=0,IF(F123=0,E123,F123),G123),H123),I123),J123),K123),L123),M123),N123),O123)</f>
        <v>0</v>
      </c>
    </row>
    <row r="124" spans="1:16" x14ac:dyDescent="0.3">
      <c r="A124" s="1"/>
      <c r="B124" s="1"/>
      <c r="C124" s="60" t="s">
        <v>806</v>
      </c>
      <c r="D124" s="68"/>
      <c r="E124" s="15">
        <f ca="1">IFERROR(ROUNDUP(MAX(ROUNDUP('B. Implementation Plan'!E85/'B. Implementation Plan'!E95,0)*E67/'B. Implementation Plan'!E99-E105,0),0),0)</f>
        <v>0</v>
      </c>
      <c r="F124" s="15">
        <f ca="1">IFERROR(ROUNDUP(MAX(ROUNDUP('B. Implementation Plan'!E85/'B. Implementation Plan'!E95,0)*F67/'B. Implementation Plan'!E99-F105,0),0),0)</f>
        <v>0</v>
      </c>
      <c r="G124" s="15">
        <f ca="1">IFERROR(ROUNDUP(MAX(ROUNDUP('B. Implementation Plan'!E85/'B. Implementation Plan'!E95,0)*G67/'B. Implementation Plan'!E99-G105,0),0),0)</f>
        <v>0</v>
      </c>
      <c r="H124" s="15">
        <f ca="1">IFERROR(ROUNDUP(MAX(ROUNDUP('B. Implementation Plan'!E85/'B. Implementation Plan'!E95,0)*H67/'B. Implementation Plan'!E99-H105,0),0),0)</f>
        <v>0</v>
      </c>
      <c r="I124" s="15">
        <f ca="1">IFERROR(ROUNDUP(MAX(ROUNDUP('B. Implementation Plan'!E85/'B. Implementation Plan'!E95,0)*I67/'B. Implementation Plan'!E99-I105,0),0),0)</f>
        <v>0</v>
      </c>
      <c r="J124" s="15">
        <f ca="1">IFERROR(ROUNDUP(MAX(ROUNDUP('B. Implementation Plan'!E85/'B. Implementation Plan'!E95,0)*J67/'B. Implementation Plan'!E99-J105,0),0),0)</f>
        <v>0</v>
      </c>
      <c r="K124" s="15">
        <f ca="1">IFERROR(ROUNDUP(MAX(ROUNDUP('B. Implementation Plan'!E85/'B. Implementation Plan'!E95,0)*K67/'B. Implementation Plan'!E99-K105,0),0),0)</f>
        <v>0</v>
      </c>
      <c r="L124" s="15">
        <f ca="1">IFERROR(ROUNDUP(MAX(ROUNDUP('B. Implementation Plan'!E85/'B. Implementation Plan'!E95,0)*L67/'B. Implementation Plan'!E99-L105,0),0),0)</f>
        <v>0</v>
      </c>
      <c r="M124" s="15">
        <f ca="1">IFERROR(ROUNDUP(MAX(ROUNDUP('B. Implementation Plan'!E85/'B. Implementation Plan'!E95,0)*M67/'B. Implementation Plan'!E99-M105,0),0),0)</f>
        <v>0</v>
      </c>
      <c r="N124" s="15">
        <f ca="1">IFERROR(ROUNDUP(MAX(ROUNDUP('B. Implementation Plan'!E85/'B. Implementation Plan'!E95,0)*N67/'B. Implementation Plan'!E99-N105,0),0),0)</f>
        <v>0</v>
      </c>
      <c r="O124" s="15">
        <f ca="1">IFERROR(ROUNDUP(MAX(ROUNDUP('B. Implementation Plan'!E85/'B. Implementation Plan'!E95,0)*O67/'B. Implementation Plan'!E99-O105,0),0),0)</f>
        <v>0</v>
      </c>
      <c r="P124" s="78">
        <f t="shared" ref="P124:P130" ca="1" si="205">IF(O124=0,IF(N124=0,IF(M124=0,IF(L124=0,IF(K124=0,IF(J124=0,IF(I124=0,IF(H124=0,IF(G124=0,IF(F124=0,E124,F124),G124),H124),I124),J124),K124),L124),M124),N124),O124)</f>
        <v>0</v>
      </c>
    </row>
    <row r="125" spans="1:16" x14ac:dyDescent="0.3">
      <c r="A125" s="1"/>
      <c r="B125" s="1"/>
      <c r="C125" s="60" t="s">
        <v>805</v>
      </c>
      <c r="D125" s="68"/>
      <c r="E125" s="15">
        <f ca="1">IFERROR(ROUNDUP(MAX(ROUNDUP('B. Implementation Plan'!E85/'B. Implementation Plan'!E95,0)*E68/'B. Implementation Plan'!E100-E106,0),0),0)</f>
        <v>0</v>
      </c>
      <c r="F125" s="15">
        <f ca="1">IFERROR(ROUNDUP(MAX(ROUNDUP('B. Implementation Plan'!E85/'B. Implementation Plan'!E95,0)*F68/'B. Implementation Plan'!E100-F106,0),0),0)</f>
        <v>0</v>
      </c>
      <c r="G125" s="15">
        <f ca="1">IFERROR(ROUNDUP(MAX(ROUNDUP('B. Implementation Plan'!E85/'B. Implementation Plan'!E95,0)*G68/'B. Implementation Plan'!E100-G106,0),0),0)</f>
        <v>0</v>
      </c>
      <c r="H125" s="15">
        <f ca="1">IFERROR(ROUNDUP(MAX(ROUNDUP('B. Implementation Plan'!E85/'B. Implementation Plan'!E95,0)*H68/'B. Implementation Plan'!E100-H106,0),0),0)</f>
        <v>0</v>
      </c>
      <c r="I125" s="15">
        <f ca="1">IFERROR(ROUNDUP(MAX(ROUNDUP('B. Implementation Plan'!E85/'B. Implementation Plan'!E95,0)*I68/'B. Implementation Plan'!E100-I106,0),0),0)</f>
        <v>0</v>
      </c>
      <c r="J125" s="15">
        <f ca="1">IFERROR(ROUNDUP(MAX(ROUNDUP('B. Implementation Plan'!E85/'B. Implementation Plan'!E95,0)*J68/'B. Implementation Plan'!E100-J106,0),0),0)</f>
        <v>0</v>
      </c>
      <c r="K125" s="15">
        <f ca="1">IFERROR(ROUNDUP(MAX(ROUNDUP('B. Implementation Plan'!E85/'B. Implementation Plan'!E95,0)*K68/'B. Implementation Plan'!E100-K106,0),0),0)</f>
        <v>0</v>
      </c>
      <c r="L125" s="15">
        <f ca="1">IFERROR(ROUNDUP(MAX(ROUNDUP('B. Implementation Plan'!E85/'B. Implementation Plan'!E95,0)*L68/'B. Implementation Plan'!E100-L106,0),0),0)</f>
        <v>0</v>
      </c>
      <c r="M125" s="15">
        <f ca="1">IFERROR(ROUNDUP(MAX(ROUNDUP('B. Implementation Plan'!E85/'B. Implementation Plan'!E95,0)*M68/'B. Implementation Plan'!E100-M106,0),0),0)</f>
        <v>0</v>
      </c>
      <c r="N125" s="15">
        <f ca="1">IFERROR(ROUNDUP(MAX(ROUNDUP('B. Implementation Plan'!E85/'B. Implementation Plan'!E95,0)*N68/'B. Implementation Plan'!E100-N106,0),0),0)</f>
        <v>0</v>
      </c>
      <c r="O125" s="15">
        <f ca="1">IFERROR(ROUNDUP(MAX(ROUNDUP('B. Implementation Plan'!E85/'B. Implementation Plan'!E95,0)*O68/'B. Implementation Plan'!E100-O106,0),0),0)</f>
        <v>0</v>
      </c>
      <c r="P125" s="78">
        <f t="shared" ca="1" si="205"/>
        <v>0</v>
      </c>
    </row>
    <row r="126" spans="1:16" x14ac:dyDescent="0.3">
      <c r="A126" s="1"/>
      <c r="B126" s="1"/>
      <c r="C126" s="64" t="s">
        <v>145</v>
      </c>
      <c r="D126" s="68"/>
      <c r="E126" s="324">
        <f ca="1">SUM(E123:E125)</f>
        <v>0</v>
      </c>
      <c r="F126" s="324">
        <f t="shared" ref="F126" ca="1" si="206">SUM(F123:F125)</f>
        <v>0</v>
      </c>
      <c r="G126" s="324">
        <f t="shared" ref="G126" ca="1" si="207">SUM(G123:G125)</f>
        <v>0</v>
      </c>
      <c r="H126" s="324">
        <f t="shared" ref="H126" ca="1" si="208">SUM(H123:H125)</f>
        <v>0</v>
      </c>
      <c r="I126" s="324">
        <f t="shared" ref="I126" ca="1" si="209">SUM(I123:I125)</f>
        <v>0</v>
      </c>
      <c r="J126" s="324">
        <f t="shared" ref="J126" ca="1" si="210">SUM(J123:J125)</f>
        <v>0</v>
      </c>
      <c r="K126" s="324">
        <f t="shared" ref="K126" ca="1" si="211">SUM(K123:K125)</f>
        <v>0</v>
      </c>
      <c r="L126" s="324">
        <f t="shared" ref="L126" ca="1" si="212">SUM(L123:L125)</f>
        <v>0</v>
      </c>
      <c r="M126" s="324">
        <f t="shared" ref="M126" ca="1" si="213">SUM(M123:M125)</f>
        <v>0</v>
      </c>
      <c r="N126" s="324">
        <f t="shared" ref="N126" ca="1" si="214">SUM(N123:N125)</f>
        <v>0</v>
      </c>
      <c r="O126" s="324">
        <f t="shared" ref="O126" ca="1" si="215">SUM(O123:O125)</f>
        <v>0</v>
      </c>
      <c r="P126" s="325">
        <f t="shared" ca="1" si="205"/>
        <v>0</v>
      </c>
    </row>
    <row r="127" spans="1:16" x14ac:dyDescent="0.3">
      <c r="A127" s="1"/>
      <c r="B127" s="1"/>
      <c r="C127" s="61" t="s">
        <v>146</v>
      </c>
      <c r="D127" s="69"/>
      <c r="E127" s="324">
        <f ca="1">E118+E122+E126</f>
        <v>619</v>
      </c>
      <c r="F127" s="324">
        <f t="shared" ref="F127" ca="1" si="216">F118+F122+F126</f>
        <v>635</v>
      </c>
      <c r="G127" s="324">
        <f t="shared" ref="G127" ca="1" si="217">G118+G122+G126</f>
        <v>650</v>
      </c>
      <c r="H127" s="324">
        <f t="shared" ref="H127" ca="1" si="218">H118+H122+H126</f>
        <v>666</v>
      </c>
      <c r="I127" s="324">
        <f t="shared" ref="I127" ca="1" si="219">I118+I122+I126</f>
        <v>682</v>
      </c>
      <c r="J127" s="324">
        <f t="shared" ref="J127" ca="1" si="220">J118+J122+J126</f>
        <v>697</v>
      </c>
      <c r="K127" s="324">
        <f t="shared" ref="K127" ca="1" si="221">K118+K122+K126</f>
        <v>713</v>
      </c>
      <c r="L127" s="324">
        <f t="shared" ref="L127" ca="1" si="222">L118+L122+L126</f>
        <v>728</v>
      </c>
      <c r="M127" s="324">
        <f t="shared" ref="M127" ca="1" si="223">M118+M122+M126</f>
        <v>744</v>
      </c>
      <c r="N127" s="324">
        <f t="shared" ref="N127" ca="1" si="224">N118+N122+N126</f>
        <v>760</v>
      </c>
      <c r="O127" s="324">
        <f t="shared" ref="O127" ca="1" si="225">O118+O122+O126</f>
        <v>775</v>
      </c>
      <c r="P127" s="325">
        <f t="shared" ca="1" si="205"/>
        <v>775</v>
      </c>
    </row>
    <row r="128" spans="1:16" x14ac:dyDescent="0.3">
      <c r="A128" s="1"/>
      <c r="B128" s="1"/>
      <c r="C128" s="63" t="s">
        <v>147</v>
      </c>
      <c r="D128" s="69"/>
      <c r="E128" s="324">
        <f ca="1">E115+E119+E123</f>
        <v>578</v>
      </c>
      <c r="F128" s="324">
        <f t="shared" ref="F128:O128" ca="1" si="226">F115+F119+F123</f>
        <v>594</v>
      </c>
      <c r="G128" s="324">
        <f t="shared" ca="1" si="226"/>
        <v>609</v>
      </c>
      <c r="H128" s="324">
        <f t="shared" ca="1" si="226"/>
        <v>625</v>
      </c>
      <c r="I128" s="324">
        <f t="shared" ca="1" si="226"/>
        <v>641</v>
      </c>
      <c r="J128" s="324">
        <f t="shared" ca="1" si="226"/>
        <v>656</v>
      </c>
      <c r="K128" s="324">
        <f t="shared" ca="1" si="226"/>
        <v>672</v>
      </c>
      <c r="L128" s="324">
        <f t="shared" ca="1" si="226"/>
        <v>687</v>
      </c>
      <c r="M128" s="324">
        <f t="shared" ca="1" si="226"/>
        <v>703</v>
      </c>
      <c r="N128" s="324">
        <f t="shared" ca="1" si="226"/>
        <v>719</v>
      </c>
      <c r="O128" s="324">
        <f t="shared" ca="1" si="226"/>
        <v>734</v>
      </c>
      <c r="P128" s="78">
        <f t="shared" ca="1" si="205"/>
        <v>734</v>
      </c>
    </row>
    <row r="129" spans="1:16" x14ac:dyDescent="0.3">
      <c r="A129" s="1"/>
      <c r="B129" s="1"/>
      <c r="C129" s="63" t="s">
        <v>148</v>
      </c>
      <c r="D129" s="69"/>
      <c r="E129" s="15">
        <f t="shared" ref="E129:O129" ca="1" si="227">E116+E120+E124</f>
        <v>41</v>
      </c>
      <c r="F129" s="15">
        <f t="shared" ca="1" si="227"/>
        <v>41</v>
      </c>
      <c r="G129" s="15">
        <f t="shared" ca="1" si="227"/>
        <v>41</v>
      </c>
      <c r="H129" s="15">
        <f t="shared" ca="1" si="227"/>
        <v>41</v>
      </c>
      <c r="I129" s="15">
        <f t="shared" ca="1" si="227"/>
        <v>41</v>
      </c>
      <c r="J129" s="15">
        <f t="shared" ca="1" si="227"/>
        <v>41</v>
      </c>
      <c r="K129" s="15">
        <f t="shared" ca="1" si="227"/>
        <v>41</v>
      </c>
      <c r="L129" s="15">
        <f t="shared" ca="1" si="227"/>
        <v>41</v>
      </c>
      <c r="M129" s="15">
        <f t="shared" ca="1" si="227"/>
        <v>41</v>
      </c>
      <c r="N129" s="15">
        <f t="shared" ca="1" si="227"/>
        <v>41</v>
      </c>
      <c r="O129" s="15">
        <f t="shared" ca="1" si="227"/>
        <v>41</v>
      </c>
      <c r="P129" s="78">
        <f t="shared" ca="1" si="205"/>
        <v>41</v>
      </c>
    </row>
    <row r="130" spans="1:16" ht="15" thickBot="1" x14ac:dyDescent="0.35">
      <c r="A130" s="1"/>
      <c r="B130" s="1"/>
      <c r="C130" s="63" t="s">
        <v>149</v>
      </c>
      <c r="D130" s="69"/>
      <c r="E130" s="15">
        <f t="shared" ref="E130:O130" ca="1" si="228">E117+E121+E125</f>
        <v>0</v>
      </c>
      <c r="F130" s="15">
        <f t="shared" ca="1" si="228"/>
        <v>0</v>
      </c>
      <c r="G130" s="15">
        <f t="shared" ca="1" si="228"/>
        <v>0</v>
      </c>
      <c r="H130" s="15">
        <f t="shared" ca="1" si="228"/>
        <v>0</v>
      </c>
      <c r="I130" s="15">
        <f t="shared" ca="1" si="228"/>
        <v>0</v>
      </c>
      <c r="J130" s="15">
        <f t="shared" ca="1" si="228"/>
        <v>0</v>
      </c>
      <c r="K130" s="15">
        <f t="shared" ca="1" si="228"/>
        <v>0</v>
      </c>
      <c r="L130" s="15">
        <f t="shared" ca="1" si="228"/>
        <v>0</v>
      </c>
      <c r="M130" s="15">
        <f t="shared" ca="1" si="228"/>
        <v>0</v>
      </c>
      <c r="N130" s="15">
        <f t="shared" ca="1" si="228"/>
        <v>0</v>
      </c>
      <c r="O130" s="15">
        <f t="shared" ca="1" si="228"/>
        <v>0</v>
      </c>
      <c r="P130" s="79">
        <f t="shared" ca="1" si="205"/>
        <v>0</v>
      </c>
    </row>
    <row r="131" spans="1:16" x14ac:dyDescent="0.3">
      <c r="P131"/>
    </row>
    <row r="132" spans="1:16" ht="15" thickBot="1" x14ac:dyDescent="0.35">
      <c r="P132"/>
    </row>
    <row r="133" spans="1:16" s="67" customFormat="1" ht="15.6" x14ac:dyDescent="0.3">
      <c r="A133" s="62"/>
      <c r="B133" s="62" t="s">
        <v>371</v>
      </c>
      <c r="D133" s="65"/>
      <c r="E133" s="66">
        <v>0</v>
      </c>
      <c r="F133" s="66">
        <v>1</v>
      </c>
      <c r="G133" s="66">
        <v>2</v>
      </c>
      <c r="H133" s="66">
        <v>3</v>
      </c>
      <c r="I133" s="66">
        <v>4</v>
      </c>
      <c r="J133" s="66">
        <v>5</v>
      </c>
      <c r="K133" s="66">
        <v>6</v>
      </c>
      <c r="L133" s="66">
        <v>7</v>
      </c>
      <c r="M133" s="66">
        <v>8</v>
      </c>
      <c r="N133" s="66">
        <v>9</v>
      </c>
      <c r="O133" s="213">
        <v>10</v>
      </c>
      <c r="P133" s="214" t="s">
        <v>2</v>
      </c>
    </row>
    <row r="134" spans="1:16" x14ac:dyDescent="0.3">
      <c r="A134" s="1"/>
      <c r="B134" s="1"/>
      <c r="C134" s="326" t="s">
        <v>81</v>
      </c>
      <c r="D134" s="68"/>
      <c r="E134" s="15">
        <f ca="1">ROUNDUP(E80/'B. Implementation Plan'!E108,0)</f>
        <v>0</v>
      </c>
      <c r="F134" s="15">
        <f ca="1">ROUNDUP(F80/'B. Implementation Plan'!E108,0)</f>
        <v>0</v>
      </c>
      <c r="G134" s="15">
        <f ca="1">ROUNDUP(G80/'B. Implementation Plan'!E108,0)</f>
        <v>0</v>
      </c>
      <c r="H134" s="15">
        <f ca="1">ROUNDUP(H80/'B. Implementation Plan'!E108,0)</f>
        <v>0</v>
      </c>
      <c r="I134" s="15">
        <f ca="1">ROUNDUP(I80/'B. Implementation Plan'!E108,0)</f>
        <v>0</v>
      </c>
      <c r="J134" s="15">
        <f ca="1">ROUNDUP(J80/'B. Implementation Plan'!E108,0)</f>
        <v>0</v>
      </c>
      <c r="K134" s="15">
        <f ca="1">ROUNDUP(K80/'B. Implementation Plan'!E108,0)</f>
        <v>0</v>
      </c>
      <c r="L134" s="15">
        <f ca="1">ROUNDUP(L80/'B. Implementation Plan'!E108,0)</f>
        <v>0</v>
      </c>
      <c r="M134" s="15">
        <f ca="1">ROUNDUP(M80/'B. Implementation Plan'!E108,0)</f>
        <v>0</v>
      </c>
      <c r="N134" s="15">
        <f ca="1">ROUNDUP(N80/'B. Implementation Plan'!E108,0)</f>
        <v>0</v>
      </c>
      <c r="O134" s="15">
        <f ca="1">ROUNDUP(O80/'B. Implementation Plan'!E108,0)</f>
        <v>0</v>
      </c>
      <c r="P134" s="78">
        <f ca="1">IF(O134=0,IF(N134=0,IF(M134=0,IF(L134=0,IF(K134=0,IF(J134=0,IF(I134=0,IF(H134=0,IF(G134=0,IF(F134=0,E134,F134),G134),H134),I134),J134),K134),L134),M134),N134),O134)</f>
        <v>0</v>
      </c>
    </row>
    <row r="135" spans="1:16" x14ac:dyDescent="0.3">
      <c r="A135" s="1"/>
      <c r="B135" s="1"/>
      <c r="C135" s="326" t="s">
        <v>82</v>
      </c>
      <c r="D135" s="68"/>
      <c r="E135" s="15">
        <f ca="1">ROUNDUP(E84/'B. Implementation Plan'!E109,0)</f>
        <v>310</v>
      </c>
      <c r="F135" s="15">
        <f ca="1">ROUNDUP(F84/'B. Implementation Plan'!E109,0)</f>
        <v>318</v>
      </c>
      <c r="G135" s="15">
        <f ca="1">ROUNDUP(G84/'B. Implementation Plan'!E109,0)</f>
        <v>326</v>
      </c>
      <c r="H135" s="15">
        <f ca="1">ROUNDUP(H84/'B. Implementation Plan'!E109,0)</f>
        <v>333</v>
      </c>
      <c r="I135" s="15">
        <f ca="1">ROUNDUP(I84/'B. Implementation Plan'!E109,0)</f>
        <v>341</v>
      </c>
      <c r="J135" s="15">
        <f ca="1">ROUNDUP(J84/'B. Implementation Plan'!E109,0)</f>
        <v>349</v>
      </c>
      <c r="K135" s="15">
        <f ca="1">ROUNDUP(K84/'B. Implementation Plan'!E109,0)</f>
        <v>357</v>
      </c>
      <c r="L135" s="15">
        <f ca="1">ROUNDUP(L84/'B. Implementation Plan'!E109,0)</f>
        <v>365</v>
      </c>
      <c r="M135" s="15">
        <f ca="1">ROUNDUP(M84/'B. Implementation Plan'!E109,0)</f>
        <v>373</v>
      </c>
      <c r="N135" s="15">
        <f ca="1">ROUNDUP(N84/'B. Implementation Plan'!E109,0)</f>
        <v>380</v>
      </c>
      <c r="O135" s="15">
        <f ca="1">ROUNDUP(O84/'B. Implementation Plan'!E109,0)</f>
        <v>388</v>
      </c>
      <c r="P135" s="78">
        <f t="shared" ref="P135:P137" ca="1" si="229">IF(O135=0,IF(N135=0,IF(M135=0,IF(L135=0,IF(K135=0,IF(J135=0,IF(I135=0,IF(H135=0,IF(G135=0,IF(F135=0,E135,F135),G135),H135),I135),J135),K135),L135),M135),N135),O135)</f>
        <v>388</v>
      </c>
    </row>
    <row r="136" spans="1:16" x14ac:dyDescent="0.3">
      <c r="A136" s="1"/>
      <c r="B136" s="1"/>
      <c r="C136" s="326" t="s">
        <v>83</v>
      </c>
      <c r="D136" s="68"/>
      <c r="E136" s="15">
        <f ca="1">ROUNDUP(E88/'B. Implementation Plan'!E110,0)</f>
        <v>0</v>
      </c>
      <c r="F136" s="15">
        <f ca="1">ROUNDUP(F88/'B. Implementation Plan'!E110,0)</f>
        <v>0</v>
      </c>
      <c r="G136" s="15">
        <f ca="1">ROUNDUP(G88/'B. Implementation Plan'!E110,0)</f>
        <v>0</v>
      </c>
      <c r="H136" s="15">
        <f ca="1">ROUNDUP(H88/'B. Implementation Plan'!E110,0)</f>
        <v>0</v>
      </c>
      <c r="I136" s="15">
        <f ca="1">ROUNDUP(I88/'B. Implementation Plan'!E110,0)</f>
        <v>0</v>
      </c>
      <c r="J136" s="15">
        <f ca="1">ROUNDUP(J88/'B. Implementation Plan'!E110,0)</f>
        <v>0</v>
      </c>
      <c r="K136" s="15">
        <f ca="1">ROUNDUP(K88/'B. Implementation Plan'!E110,0)</f>
        <v>0</v>
      </c>
      <c r="L136" s="15">
        <f ca="1">ROUNDUP(L88/'B. Implementation Plan'!E110,0)</f>
        <v>0</v>
      </c>
      <c r="M136" s="15">
        <f ca="1">ROUNDUP(M88/'B. Implementation Plan'!E110,0)</f>
        <v>0</v>
      </c>
      <c r="N136" s="15">
        <f ca="1">ROUNDUP(N88/'B. Implementation Plan'!E110,0)</f>
        <v>0</v>
      </c>
      <c r="O136" s="15">
        <f ca="1">ROUNDUP(O88/'B. Implementation Plan'!E110,0)</f>
        <v>0</v>
      </c>
      <c r="P136" s="78">
        <f t="shared" ca="1" si="229"/>
        <v>0</v>
      </c>
    </row>
    <row r="137" spans="1:16" ht="15" thickBot="1" x14ac:dyDescent="0.35">
      <c r="A137" s="1"/>
      <c r="B137" s="1"/>
      <c r="C137" s="59" t="s">
        <v>369</v>
      </c>
      <c r="D137" s="68"/>
      <c r="E137" s="324">
        <f ca="1">SUM(E134:E136)</f>
        <v>310</v>
      </c>
      <c r="F137" s="324">
        <f t="shared" ref="F137" ca="1" si="230">SUM(F134:F136)</f>
        <v>318</v>
      </c>
      <c r="G137" s="324">
        <f t="shared" ref="G137" ca="1" si="231">SUM(G134:G136)</f>
        <v>326</v>
      </c>
      <c r="H137" s="324">
        <f t="shared" ref="H137" ca="1" si="232">SUM(H134:H136)</f>
        <v>333</v>
      </c>
      <c r="I137" s="324">
        <f t="shared" ref="I137" ca="1" si="233">SUM(I134:I136)</f>
        <v>341</v>
      </c>
      <c r="J137" s="324">
        <f t="shared" ref="J137" ca="1" si="234">SUM(J134:J136)</f>
        <v>349</v>
      </c>
      <c r="K137" s="324">
        <f t="shared" ref="K137" ca="1" si="235">SUM(K134:K136)</f>
        <v>357</v>
      </c>
      <c r="L137" s="324">
        <f t="shared" ref="L137" ca="1" si="236">SUM(L134:L136)</f>
        <v>365</v>
      </c>
      <c r="M137" s="324">
        <f t="shared" ref="M137" ca="1" si="237">SUM(M134:M136)</f>
        <v>373</v>
      </c>
      <c r="N137" s="324">
        <f t="shared" ref="N137" ca="1" si="238">SUM(N134:N136)</f>
        <v>380</v>
      </c>
      <c r="O137" s="324">
        <f t="shared" ref="O137" ca="1" si="239">SUM(O134:O136)</f>
        <v>388</v>
      </c>
      <c r="P137" s="328">
        <f t="shared" ca="1" si="229"/>
        <v>388</v>
      </c>
    </row>
    <row r="138" spans="1:16" x14ac:dyDescent="0.3">
      <c r="P138"/>
    </row>
    <row r="139" spans="1:16" ht="15" thickBot="1" x14ac:dyDescent="0.35">
      <c r="P139"/>
    </row>
    <row r="140" spans="1:16" s="67" customFormat="1" ht="15.6" x14ac:dyDescent="0.3">
      <c r="A140" s="62"/>
      <c r="B140" s="62" t="s">
        <v>650</v>
      </c>
      <c r="D140" s="65"/>
      <c r="E140" s="66">
        <v>0</v>
      </c>
      <c r="F140" s="66">
        <v>1</v>
      </c>
      <c r="G140" s="66">
        <v>2</v>
      </c>
      <c r="H140" s="66">
        <v>3</v>
      </c>
      <c r="I140" s="66">
        <v>4</v>
      </c>
      <c r="J140" s="66">
        <v>5</v>
      </c>
      <c r="K140" s="66">
        <v>6</v>
      </c>
      <c r="L140" s="66">
        <v>7</v>
      </c>
      <c r="M140" s="66">
        <v>8</v>
      </c>
      <c r="N140" s="66">
        <v>9</v>
      </c>
      <c r="O140" s="213">
        <v>10</v>
      </c>
      <c r="P140" s="214" t="s">
        <v>2</v>
      </c>
    </row>
    <row r="141" spans="1:16" x14ac:dyDescent="0.3">
      <c r="A141" s="1"/>
      <c r="B141" s="1"/>
      <c r="C141" s="326" t="s">
        <v>377</v>
      </c>
      <c r="D141" s="68"/>
      <c r="E141" s="327">
        <f ca="1">IFERROR(ROUND(E99/E134,1),0)</f>
        <v>0</v>
      </c>
      <c r="F141" s="327">
        <f t="shared" ref="F141:O141" ca="1" si="240">IFERROR(ROUND(F99/F134,1),0)</f>
        <v>0</v>
      </c>
      <c r="G141" s="327">
        <f t="shared" ca="1" si="240"/>
        <v>0</v>
      </c>
      <c r="H141" s="327">
        <f t="shared" ca="1" si="240"/>
        <v>0</v>
      </c>
      <c r="I141" s="327">
        <f t="shared" ca="1" si="240"/>
        <v>0</v>
      </c>
      <c r="J141" s="327">
        <f t="shared" ca="1" si="240"/>
        <v>0</v>
      </c>
      <c r="K141" s="327">
        <f t="shared" ca="1" si="240"/>
        <v>0</v>
      </c>
      <c r="L141" s="327">
        <f t="shared" ca="1" si="240"/>
        <v>0</v>
      </c>
      <c r="M141" s="327">
        <f t="shared" ca="1" si="240"/>
        <v>0</v>
      </c>
      <c r="N141" s="327">
        <f t="shared" ca="1" si="240"/>
        <v>0</v>
      </c>
      <c r="O141" s="327">
        <f t="shared" ca="1" si="240"/>
        <v>0</v>
      </c>
      <c r="P141" s="358">
        <f ca="1">IF(O141=0,IF(N141=0,IF(M141=0,IF(L141=0,IF(K141=0,IF(J141=0,IF(I141=0,IF(H141=0,IF(G141=0,IF(F141=0,E141,F141),G141),H141),I141),J141),K141),L141),M141),N141),O141)</f>
        <v>0</v>
      </c>
    </row>
    <row r="142" spans="1:16" x14ac:dyDescent="0.3">
      <c r="A142" s="1"/>
      <c r="B142" s="1"/>
      <c r="C142" s="326" t="s">
        <v>378</v>
      </c>
      <c r="D142" s="68"/>
      <c r="E142" s="327">
        <f ca="1">IFERROR(ROUND(E103/E135,1),0)</f>
        <v>2</v>
      </c>
      <c r="F142" s="327">
        <f t="shared" ref="F142:O142" ca="1" si="241">IFERROR(ROUND(F103/F135,1),0)</f>
        <v>2</v>
      </c>
      <c r="G142" s="327">
        <f t="shared" ca="1" si="241"/>
        <v>2</v>
      </c>
      <c r="H142" s="327">
        <f t="shared" ca="1" si="241"/>
        <v>2</v>
      </c>
      <c r="I142" s="327">
        <f t="shared" ca="1" si="241"/>
        <v>2</v>
      </c>
      <c r="J142" s="327">
        <f t="shared" ca="1" si="241"/>
        <v>2</v>
      </c>
      <c r="K142" s="327">
        <f t="shared" ca="1" si="241"/>
        <v>2</v>
      </c>
      <c r="L142" s="327">
        <f t="shared" ca="1" si="241"/>
        <v>2</v>
      </c>
      <c r="M142" s="327">
        <f t="shared" ca="1" si="241"/>
        <v>2</v>
      </c>
      <c r="N142" s="327">
        <f t="shared" ca="1" si="241"/>
        <v>2</v>
      </c>
      <c r="O142" s="327">
        <f t="shared" ca="1" si="241"/>
        <v>2</v>
      </c>
      <c r="P142" s="358">
        <f t="shared" ref="P142:P143" ca="1" si="242">IF(O142=0,IF(N142=0,IF(M142=0,IF(L142=0,IF(K142=0,IF(J142=0,IF(I142=0,IF(H142=0,IF(G142=0,IF(F142=0,E142,F142),G142),H142),I142),J142),K142),L142),M142),N142),O142)</f>
        <v>2</v>
      </c>
    </row>
    <row r="143" spans="1:16" ht="15" thickBot="1" x14ac:dyDescent="0.35">
      <c r="A143" s="1"/>
      <c r="B143" s="1"/>
      <c r="C143" s="326" t="s">
        <v>379</v>
      </c>
      <c r="D143" s="68"/>
      <c r="E143" s="327">
        <f ca="1">IFERROR(ROUND(E107/E136,1),0)</f>
        <v>0</v>
      </c>
      <c r="F143" s="327">
        <f t="shared" ref="F143:O143" ca="1" si="243">IFERROR(ROUND(F107/F136,1),0)</f>
        <v>0</v>
      </c>
      <c r="G143" s="327">
        <f t="shared" ca="1" si="243"/>
        <v>0</v>
      </c>
      <c r="H143" s="327">
        <f t="shared" ca="1" si="243"/>
        <v>0</v>
      </c>
      <c r="I143" s="327">
        <f t="shared" ca="1" si="243"/>
        <v>0</v>
      </c>
      <c r="J143" s="327">
        <f t="shared" ca="1" si="243"/>
        <v>0</v>
      </c>
      <c r="K143" s="327">
        <f t="shared" ca="1" si="243"/>
        <v>0</v>
      </c>
      <c r="L143" s="327">
        <f t="shared" ca="1" si="243"/>
        <v>0</v>
      </c>
      <c r="M143" s="327">
        <f t="shared" ca="1" si="243"/>
        <v>0</v>
      </c>
      <c r="N143" s="327">
        <f t="shared" ca="1" si="243"/>
        <v>0</v>
      </c>
      <c r="O143" s="327">
        <f t="shared" ca="1" si="243"/>
        <v>0</v>
      </c>
      <c r="P143" s="364">
        <f t="shared" ca="1" si="242"/>
        <v>0</v>
      </c>
    </row>
    <row r="144" spans="1:16" x14ac:dyDescent="0.3">
      <c r="A144" s="1"/>
      <c r="B144" s="1"/>
      <c r="C144" s="332"/>
      <c r="D144" s="296"/>
      <c r="E144" s="333"/>
      <c r="F144" s="333"/>
      <c r="G144" s="333"/>
      <c r="H144" s="333"/>
      <c r="I144" s="333"/>
      <c r="J144" s="333"/>
      <c r="K144" s="333"/>
      <c r="L144" s="333"/>
      <c r="M144" s="333"/>
      <c r="N144" s="333"/>
      <c r="O144" s="333"/>
      <c r="P144" s="30"/>
    </row>
    <row r="145" spans="1:16" ht="15" thickBot="1" x14ac:dyDescent="0.35">
      <c r="A145" s="1"/>
      <c r="B145" s="1"/>
      <c r="C145" s="332"/>
      <c r="D145" s="296"/>
      <c r="E145" s="333"/>
      <c r="F145" s="333"/>
      <c r="G145" s="333"/>
      <c r="H145" s="333"/>
      <c r="I145" s="333"/>
      <c r="J145" s="333"/>
      <c r="K145" s="333"/>
      <c r="L145" s="333"/>
      <c r="M145" s="333"/>
      <c r="N145" s="333"/>
      <c r="O145" s="333"/>
      <c r="P145" s="30"/>
    </row>
    <row r="146" spans="1:16" s="67" customFormat="1" ht="15.6" x14ac:dyDescent="0.3">
      <c r="A146" s="62"/>
      <c r="B146" s="62" t="s">
        <v>651</v>
      </c>
      <c r="D146" s="65"/>
      <c r="E146" s="66">
        <v>0</v>
      </c>
      <c r="F146" s="66">
        <v>1</v>
      </c>
      <c r="G146" s="66">
        <v>2</v>
      </c>
      <c r="H146" s="66">
        <v>3</v>
      </c>
      <c r="I146" s="66">
        <v>4</v>
      </c>
      <c r="J146" s="66">
        <v>5</v>
      </c>
      <c r="K146" s="66">
        <v>6</v>
      </c>
      <c r="L146" s="66">
        <v>7</v>
      </c>
      <c r="M146" s="66">
        <v>8</v>
      </c>
      <c r="N146" s="66">
        <v>9</v>
      </c>
      <c r="O146" s="213">
        <v>10</v>
      </c>
      <c r="P146" s="214" t="s">
        <v>2</v>
      </c>
    </row>
    <row r="147" spans="1:16" x14ac:dyDescent="0.3">
      <c r="A147" s="1"/>
      <c r="B147" s="1"/>
      <c r="C147" s="326" t="s">
        <v>380</v>
      </c>
      <c r="D147" s="68"/>
      <c r="E147" s="327">
        <f ca="1">IFERROR(ROUND(E118/E134,1),0)</f>
        <v>0</v>
      </c>
      <c r="F147" s="327">
        <f t="shared" ref="F147:O147" ca="1" si="244">IFERROR(ROUND(F118/F134,1),0)</f>
        <v>0</v>
      </c>
      <c r="G147" s="327">
        <f t="shared" ca="1" si="244"/>
        <v>0</v>
      </c>
      <c r="H147" s="327">
        <f t="shared" ca="1" si="244"/>
        <v>0</v>
      </c>
      <c r="I147" s="327">
        <f t="shared" ca="1" si="244"/>
        <v>0</v>
      </c>
      <c r="J147" s="327">
        <f t="shared" ca="1" si="244"/>
        <v>0</v>
      </c>
      <c r="K147" s="327">
        <f t="shared" ca="1" si="244"/>
        <v>0</v>
      </c>
      <c r="L147" s="327">
        <f t="shared" ca="1" si="244"/>
        <v>0</v>
      </c>
      <c r="M147" s="327">
        <f t="shared" ca="1" si="244"/>
        <v>0</v>
      </c>
      <c r="N147" s="327">
        <f t="shared" ca="1" si="244"/>
        <v>0</v>
      </c>
      <c r="O147" s="327">
        <f t="shared" ca="1" si="244"/>
        <v>0</v>
      </c>
      <c r="P147" s="358">
        <f ca="1">IF(O147=0,IF(N147=0,IF(M147=0,IF(L147=0,IF(K147=0,IF(J147=0,IF(I147=0,IF(H147=0,IF(G147=0,IF(F147=0,E147,F147),G147),H147),I147),J147),K147),L147),M147),N147),O147)</f>
        <v>0</v>
      </c>
    </row>
    <row r="148" spans="1:16" x14ac:dyDescent="0.3">
      <c r="A148" s="1"/>
      <c r="B148" s="1"/>
      <c r="C148" s="326" t="s">
        <v>381</v>
      </c>
      <c r="D148" s="68"/>
      <c r="E148" s="327">
        <f ca="1">IFERROR(ROUND(E122/E135,1),0)</f>
        <v>2</v>
      </c>
      <c r="F148" s="327">
        <f t="shared" ref="F148:O148" ca="1" si="245">IFERROR(ROUND(F122/F135,1),0)</f>
        <v>2</v>
      </c>
      <c r="G148" s="327">
        <f t="shared" ca="1" si="245"/>
        <v>2</v>
      </c>
      <c r="H148" s="327">
        <f t="shared" ca="1" si="245"/>
        <v>2</v>
      </c>
      <c r="I148" s="327">
        <f t="shared" ca="1" si="245"/>
        <v>2</v>
      </c>
      <c r="J148" s="327">
        <f t="shared" ca="1" si="245"/>
        <v>2</v>
      </c>
      <c r="K148" s="327">
        <f t="shared" ca="1" si="245"/>
        <v>2</v>
      </c>
      <c r="L148" s="327">
        <f t="shared" ca="1" si="245"/>
        <v>2</v>
      </c>
      <c r="M148" s="327">
        <f t="shared" ca="1" si="245"/>
        <v>2</v>
      </c>
      <c r="N148" s="327">
        <f t="shared" ca="1" si="245"/>
        <v>2</v>
      </c>
      <c r="O148" s="327">
        <f t="shared" ca="1" si="245"/>
        <v>2</v>
      </c>
      <c r="P148" s="358">
        <f t="shared" ref="P148:P149" ca="1" si="246">IF(O148=0,IF(N148=0,IF(M148=0,IF(L148=0,IF(K148=0,IF(J148=0,IF(I148=0,IF(H148=0,IF(G148=0,IF(F148=0,E148,F148),G148),H148),I148),J148),K148),L148),M148),N148),O148)</f>
        <v>2</v>
      </c>
    </row>
    <row r="149" spans="1:16" ht="15" thickBot="1" x14ac:dyDescent="0.35">
      <c r="A149" s="1"/>
      <c r="B149" s="1"/>
      <c r="C149" s="326" t="s">
        <v>382</v>
      </c>
      <c r="D149" s="68"/>
      <c r="E149" s="327">
        <f ca="1">IFERROR(ROUND(E126/E136,1),0)</f>
        <v>0</v>
      </c>
      <c r="F149" s="327">
        <f t="shared" ref="F149:O149" ca="1" si="247">IFERROR(ROUND(F126/F136,1),0)</f>
        <v>0</v>
      </c>
      <c r="G149" s="327">
        <f t="shared" ca="1" si="247"/>
        <v>0</v>
      </c>
      <c r="H149" s="327">
        <f t="shared" ca="1" si="247"/>
        <v>0</v>
      </c>
      <c r="I149" s="327">
        <f t="shared" ca="1" si="247"/>
        <v>0</v>
      </c>
      <c r="J149" s="327">
        <f t="shared" ca="1" si="247"/>
        <v>0</v>
      </c>
      <c r="K149" s="327">
        <f t="shared" ca="1" si="247"/>
        <v>0</v>
      </c>
      <c r="L149" s="327">
        <f t="shared" ca="1" si="247"/>
        <v>0</v>
      </c>
      <c r="M149" s="327">
        <f t="shared" ca="1" si="247"/>
        <v>0</v>
      </c>
      <c r="N149" s="327">
        <f t="shared" ca="1" si="247"/>
        <v>0</v>
      </c>
      <c r="O149" s="327">
        <f t="shared" ca="1" si="247"/>
        <v>0</v>
      </c>
      <c r="P149" s="364">
        <f t="shared" ca="1" si="246"/>
        <v>0</v>
      </c>
    </row>
    <row r="150" spans="1:16" x14ac:dyDescent="0.3">
      <c r="A150" s="1"/>
      <c r="B150" s="1"/>
      <c r="C150" s="329"/>
      <c r="D150" s="296"/>
      <c r="E150" s="330"/>
      <c r="F150" s="330"/>
      <c r="G150" s="330"/>
      <c r="H150" s="330"/>
      <c r="I150" s="330"/>
      <c r="J150" s="330"/>
      <c r="K150" s="330"/>
      <c r="L150" s="330"/>
      <c r="M150" s="330"/>
      <c r="N150" s="330"/>
      <c r="O150" s="330"/>
      <c r="P150" s="331"/>
    </row>
    <row r="151" spans="1:16" ht="15" thickBot="1" x14ac:dyDescent="0.35">
      <c r="A151" s="1"/>
      <c r="B151" s="1"/>
      <c r="C151" s="329"/>
      <c r="D151" s="296"/>
      <c r="E151" s="330"/>
      <c r="F151" s="330"/>
      <c r="G151" s="330"/>
      <c r="H151" s="330"/>
      <c r="I151" s="330"/>
      <c r="J151" s="330"/>
      <c r="K151" s="330"/>
      <c r="L151" s="330"/>
      <c r="M151" s="330"/>
      <c r="N151" s="330"/>
      <c r="O151" s="330"/>
      <c r="P151" s="331"/>
    </row>
    <row r="152" spans="1:16" s="67" customFormat="1" ht="15.6" x14ac:dyDescent="0.3">
      <c r="A152" s="62"/>
      <c r="B152" s="62" t="s">
        <v>376</v>
      </c>
      <c r="D152" s="65"/>
      <c r="E152" s="66">
        <v>0</v>
      </c>
      <c r="F152" s="66">
        <v>1</v>
      </c>
      <c r="G152" s="66">
        <v>2</v>
      </c>
      <c r="H152" s="66">
        <v>3</v>
      </c>
      <c r="I152" s="66">
        <v>4</v>
      </c>
      <c r="J152" s="66">
        <v>5</v>
      </c>
      <c r="K152" s="66">
        <v>6</v>
      </c>
      <c r="L152" s="66">
        <v>7</v>
      </c>
      <c r="M152" s="66">
        <v>8</v>
      </c>
      <c r="N152" s="66">
        <v>9</v>
      </c>
      <c r="O152" s="213">
        <v>10</v>
      </c>
      <c r="P152" s="214" t="s">
        <v>2</v>
      </c>
    </row>
    <row r="153" spans="1:16" x14ac:dyDescent="0.3">
      <c r="A153" s="1"/>
      <c r="B153" s="1"/>
      <c r="C153" s="326" t="s">
        <v>372</v>
      </c>
      <c r="D153" s="68"/>
      <c r="E153" s="15">
        <f ca="1">IFERROR(ROUNDUP('B. Implementation Plan'!E113*'B. Implementation Plan'!E123*(1/'B. Implementation Plan'!E118),0),0)</f>
        <v>0</v>
      </c>
      <c r="F153" s="15">
        <f ca="1">IFERROR(ROUNDUP('B. Implementation Plan'!F113*'B. Implementation Plan'!F123*(1/'B. Implementation Plan'!E118),0),0)</f>
        <v>0</v>
      </c>
      <c r="G153" s="15">
        <f ca="1">IFERROR(ROUNDUP('B. Implementation Plan'!G113*'B. Implementation Plan'!G123*(1/'B. Implementation Plan'!E118),0),0)</f>
        <v>0</v>
      </c>
      <c r="H153" s="15">
        <f ca="1">IFERROR(ROUNDUP('B. Implementation Plan'!H113*'B. Implementation Plan'!H123*(1/'B. Implementation Plan'!E118),0),0)</f>
        <v>0</v>
      </c>
      <c r="I153" s="15">
        <f ca="1">IFERROR(ROUNDUP('B. Implementation Plan'!I113*'B. Implementation Plan'!I123*(1/'B. Implementation Plan'!E118),0),0)</f>
        <v>0</v>
      </c>
      <c r="J153" s="15">
        <f ca="1">IFERROR(ROUNDUP('B. Implementation Plan'!J113*'B. Implementation Plan'!J123*(1/'B. Implementation Plan'!E118),0),0)</f>
        <v>0</v>
      </c>
      <c r="K153" s="15">
        <f ca="1">IFERROR(ROUNDUP('B. Implementation Plan'!K113*'B. Implementation Plan'!K123*(1/'B. Implementation Plan'!E118),0),0)</f>
        <v>0</v>
      </c>
      <c r="L153" s="15">
        <f ca="1">IFERROR(ROUNDUP('B. Implementation Plan'!L113*'B. Implementation Plan'!L123*(1/'B. Implementation Plan'!E118),0),0)</f>
        <v>0</v>
      </c>
      <c r="M153" s="15">
        <f ca="1">IFERROR(ROUNDUP('B. Implementation Plan'!M113*'B. Implementation Plan'!M123*(1/'B. Implementation Plan'!E118),0),0)</f>
        <v>0</v>
      </c>
      <c r="N153" s="15">
        <f ca="1">IFERROR(ROUNDUP('B. Implementation Plan'!N113*'B. Implementation Plan'!N123*(1/'B. Implementation Plan'!E118),0),0)</f>
        <v>0</v>
      </c>
      <c r="O153" s="15">
        <f ca="1">IFERROR(ROUNDUP('B. Implementation Plan'!O113*'B. Implementation Plan'!O123*(1/'B. Implementation Plan'!E118),0),0)</f>
        <v>0</v>
      </c>
      <c r="P153" s="78">
        <f ca="1">IF(O153=0,IF(N153=0,IF(M153=0,IF(L153=0,IF(K153=0,IF(J153=0,IF(I153=0,IF(H153=0,IF(G153=0,IF(F153=0,E153,F153),G153),H153),I153),J153),K153),L153),M153),N153),O153)</f>
        <v>0</v>
      </c>
    </row>
    <row r="154" spans="1:16" x14ac:dyDescent="0.3">
      <c r="A154" s="1"/>
      <c r="B154" s="1"/>
      <c r="C154" s="326" t="s">
        <v>373</v>
      </c>
      <c r="D154" s="68"/>
      <c r="E154" s="15">
        <f ca="1">IFERROR(ROUNDUP('B. Implementation Plan'!E114*'B. Implementation Plan'!E124*(1/'B. Implementation Plan'!E118),0),0)</f>
        <v>62</v>
      </c>
      <c r="F154" s="15">
        <f ca="1">IFERROR(ROUNDUP('B. Implementation Plan'!F114*'B. Implementation Plan'!F124*(1/'B. Implementation Plan'!E118),0),0)</f>
        <v>64</v>
      </c>
      <c r="G154" s="15">
        <f ca="1">IFERROR(ROUNDUP('B. Implementation Plan'!G114*'B. Implementation Plan'!G124*(1/'B. Implementation Plan'!E118),0),0)</f>
        <v>66</v>
      </c>
      <c r="H154" s="15">
        <f ca="1">IFERROR(ROUNDUP('B. Implementation Plan'!H114*'B. Implementation Plan'!H124*(1/'B. Implementation Plan'!E118),0),0)</f>
        <v>67</v>
      </c>
      <c r="I154" s="15">
        <f ca="1">IFERROR(ROUNDUP('B. Implementation Plan'!I114*'B. Implementation Plan'!I124*(1/'B. Implementation Plan'!E118),0),0)</f>
        <v>69</v>
      </c>
      <c r="J154" s="15">
        <f ca="1">IFERROR(ROUNDUP('B. Implementation Plan'!J114*'B. Implementation Plan'!J124*(1/'B. Implementation Plan'!E118),0),0)</f>
        <v>70</v>
      </c>
      <c r="K154" s="15">
        <f ca="1">IFERROR(ROUNDUP('B. Implementation Plan'!K114*'B. Implementation Plan'!K124*(1/'B. Implementation Plan'!E118),0),0)</f>
        <v>72</v>
      </c>
      <c r="L154" s="15">
        <f ca="1">IFERROR(ROUNDUP('B. Implementation Plan'!L114*'B. Implementation Plan'!L124*(1/'B. Implementation Plan'!E118),0),0)</f>
        <v>73</v>
      </c>
      <c r="M154" s="15">
        <f ca="1">IFERROR(ROUNDUP('B. Implementation Plan'!M114*'B. Implementation Plan'!M124*(1/'B. Implementation Plan'!E118),0),0)</f>
        <v>75</v>
      </c>
      <c r="N154" s="15">
        <f ca="1">IFERROR(ROUNDUP('B. Implementation Plan'!N114*'B. Implementation Plan'!N124*(1/'B. Implementation Plan'!E118),0),0)</f>
        <v>76</v>
      </c>
      <c r="O154" s="15">
        <f ca="1">IFERROR(ROUNDUP('B. Implementation Plan'!O114*'B. Implementation Plan'!O124*(1/'B. Implementation Plan'!E118),0),0)</f>
        <v>78</v>
      </c>
      <c r="P154" s="78">
        <f t="shared" ref="P154:P156" ca="1" si="248">IF(O154=0,IF(N154=0,IF(M154=0,IF(L154=0,IF(K154=0,IF(J154=0,IF(I154=0,IF(H154=0,IF(G154=0,IF(F154=0,E154,F154),G154),H154),I154),J154),K154),L154),M154),N154),O154)</f>
        <v>78</v>
      </c>
    </row>
    <row r="155" spans="1:16" x14ac:dyDescent="0.3">
      <c r="A155" s="1"/>
      <c r="B155" s="1"/>
      <c r="C155" s="326" t="s">
        <v>374</v>
      </c>
      <c r="D155" s="68"/>
      <c r="E155" s="15">
        <f ca="1">IFERROR(ROUNDUP('B. Implementation Plan'!E115*'B. Implementation Plan'!E125*(1/'B. Implementation Plan'!E118),0),0)</f>
        <v>0</v>
      </c>
      <c r="F155" s="15">
        <f ca="1">IFERROR(ROUNDUP('B. Implementation Plan'!F115*'B. Implementation Plan'!F125*(1/'B. Implementation Plan'!E118),0),0)</f>
        <v>0</v>
      </c>
      <c r="G155" s="15">
        <f ca="1">IFERROR(ROUNDUP('B. Implementation Plan'!G115*'B. Implementation Plan'!G125*(1/'B. Implementation Plan'!E118),0),0)</f>
        <v>0</v>
      </c>
      <c r="H155" s="15">
        <f ca="1">IFERROR(ROUNDUP('B. Implementation Plan'!H115*'B. Implementation Plan'!H125*(1/'B. Implementation Plan'!E118),0),0)</f>
        <v>0</v>
      </c>
      <c r="I155" s="15">
        <f ca="1">IFERROR(ROUNDUP('B. Implementation Plan'!I115*'B. Implementation Plan'!I125*(1/'B. Implementation Plan'!E118),0),0)</f>
        <v>0</v>
      </c>
      <c r="J155" s="15">
        <f ca="1">IFERROR(ROUNDUP('B. Implementation Plan'!J115*'B. Implementation Plan'!J125*(1/'B. Implementation Plan'!E118),0),0)</f>
        <v>0</v>
      </c>
      <c r="K155" s="15">
        <f ca="1">IFERROR(ROUNDUP('B. Implementation Plan'!K115*'B. Implementation Plan'!K125*(1/'B. Implementation Plan'!E118),0),0)</f>
        <v>0</v>
      </c>
      <c r="L155" s="15">
        <f ca="1">IFERROR(ROUNDUP('B. Implementation Plan'!L115*'B. Implementation Plan'!L125*(1/'B. Implementation Plan'!E118),0),0)</f>
        <v>0</v>
      </c>
      <c r="M155" s="15">
        <f ca="1">IFERROR(ROUNDUP('B. Implementation Plan'!M115*'B. Implementation Plan'!M125*(1/'B. Implementation Plan'!E118),0),0)</f>
        <v>0</v>
      </c>
      <c r="N155" s="15">
        <f ca="1">IFERROR(ROUNDUP('B. Implementation Plan'!N115*'B. Implementation Plan'!N125*(1/'B. Implementation Plan'!E118),0),0)</f>
        <v>0</v>
      </c>
      <c r="O155" s="15">
        <f ca="1">IFERROR(ROUNDUP('B. Implementation Plan'!O115*'B. Implementation Plan'!O125*(1/'B. Implementation Plan'!E118),0),0)</f>
        <v>0</v>
      </c>
      <c r="P155" s="78">
        <f t="shared" ca="1" si="248"/>
        <v>0</v>
      </c>
    </row>
    <row r="156" spans="1:16" ht="15" thickBot="1" x14ac:dyDescent="0.35">
      <c r="A156" s="1"/>
      <c r="B156" s="1"/>
      <c r="C156" s="59" t="s">
        <v>375</v>
      </c>
      <c r="D156" s="68"/>
      <c r="E156" s="324">
        <f ca="1">SUM(E153:E155)</f>
        <v>62</v>
      </c>
      <c r="F156" s="324">
        <f t="shared" ref="F156" ca="1" si="249">SUM(F153:F155)</f>
        <v>64</v>
      </c>
      <c r="G156" s="324">
        <f t="shared" ref="G156" ca="1" si="250">SUM(G153:G155)</f>
        <v>66</v>
      </c>
      <c r="H156" s="324">
        <f t="shared" ref="H156" ca="1" si="251">SUM(H153:H155)</f>
        <v>67</v>
      </c>
      <c r="I156" s="324">
        <f t="shared" ref="I156" ca="1" si="252">SUM(I153:I155)</f>
        <v>69</v>
      </c>
      <c r="J156" s="324">
        <f t="shared" ref="J156" ca="1" si="253">SUM(J153:J155)</f>
        <v>70</v>
      </c>
      <c r="K156" s="324">
        <f t="shared" ref="K156" ca="1" si="254">SUM(K153:K155)</f>
        <v>72</v>
      </c>
      <c r="L156" s="324">
        <f t="shared" ref="L156" ca="1" si="255">SUM(L153:L155)</f>
        <v>73</v>
      </c>
      <c r="M156" s="324">
        <f t="shared" ref="M156" ca="1" si="256">SUM(M153:M155)</f>
        <v>75</v>
      </c>
      <c r="N156" s="324">
        <f t="shared" ref="N156" ca="1" si="257">SUM(N153:N155)</f>
        <v>76</v>
      </c>
      <c r="O156" s="324">
        <f t="shared" ref="O156" ca="1" si="258">SUM(O153:O155)</f>
        <v>78</v>
      </c>
      <c r="P156" s="328">
        <f t="shared" ca="1" si="248"/>
        <v>78</v>
      </c>
    </row>
    <row r="157" spans="1:16" x14ac:dyDescent="0.3">
      <c r="P157"/>
    </row>
    <row r="158" spans="1:16" ht="15" thickBot="1" x14ac:dyDescent="0.35">
      <c r="P158"/>
    </row>
    <row r="159" spans="1:16" s="67" customFormat="1" ht="15.6" x14ac:dyDescent="0.3">
      <c r="A159" s="62"/>
      <c r="B159" s="62" t="s">
        <v>530</v>
      </c>
      <c r="D159" s="65"/>
      <c r="E159" s="66">
        <v>0</v>
      </c>
      <c r="F159" s="66">
        <v>1</v>
      </c>
      <c r="G159" s="66">
        <v>2</v>
      </c>
      <c r="H159" s="66">
        <v>3</v>
      </c>
      <c r="I159" s="66">
        <v>4</v>
      </c>
      <c r="J159" s="66">
        <v>5</v>
      </c>
      <c r="K159" s="66">
        <v>6</v>
      </c>
      <c r="L159" s="66">
        <v>7</v>
      </c>
      <c r="M159" s="66">
        <v>8</v>
      </c>
      <c r="N159" s="66">
        <v>9</v>
      </c>
      <c r="O159" s="213">
        <v>10</v>
      </c>
      <c r="P159" s="351" t="s">
        <v>2</v>
      </c>
    </row>
    <row r="160" spans="1:16" x14ac:dyDescent="0.3">
      <c r="A160" s="1"/>
      <c r="B160" s="1"/>
      <c r="C160" s="326" t="s">
        <v>457</v>
      </c>
      <c r="D160" s="368"/>
      <c r="E160" s="15">
        <f ca="1">E99</f>
        <v>0</v>
      </c>
      <c r="F160" s="15">
        <f t="shared" ref="F160:O160" ca="1" si="259">F99</f>
        <v>0</v>
      </c>
      <c r="G160" s="15">
        <f t="shared" ca="1" si="259"/>
        <v>0</v>
      </c>
      <c r="H160" s="15">
        <f t="shared" ca="1" si="259"/>
        <v>0</v>
      </c>
      <c r="I160" s="15">
        <f t="shared" ca="1" si="259"/>
        <v>0</v>
      </c>
      <c r="J160" s="15">
        <f t="shared" ca="1" si="259"/>
        <v>0</v>
      </c>
      <c r="K160" s="15">
        <f t="shared" ca="1" si="259"/>
        <v>0</v>
      </c>
      <c r="L160" s="15">
        <f t="shared" ca="1" si="259"/>
        <v>0</v>
      </c>
      <c r="M160" s="15">
        <f t="shared" ca="1" si="259"/>
        <v>0</v>
      </c>
      <c r="N160" s="15">
        <f t="shared" ca="1" si="259"/>
        <v>0</v>
      </c>
      <c r="O160" s="15">
        <f t="shared" ca="1" si="259"/>
        <v>0</v>
      </c>
      <c r="P160" s="78">
        <f ca="1">IF(O160=0,IF(N160=0,IF(M160=0,IF(L160=0,IF(K160=0,IF(J160=0,IF(I160=0,IF(H160=0,IF(G160=0,IF(F160=0,E160,F160),G160),H160),I160),J160),K160),L160),M160),N160),O160)</f>
        <v>0</v>
      </c>
    </row>
    <row r="161" spans="1:16" x14ac:dyDescent="0.3">
      <c r="A161" s="1"/>
      <c r="B161" s="1"/>
      <c r="C161" s="326" t="s">
        <v>459</v>
      </c>
      <c r="D161" s="296"/>
      <c r="E161" s="15">
        <f ca="1">IF(E160&gt;0,'B. Implementation Plan'!E133,0)</f>
        <v>0</v>
      </c>
      <c r="F161" s="15">
        <f ca="1">IF(F160&gt;0,'B. Implementation Plan'!E133,0)</f>
        <v>0</v>
      </c>
      <c r="G161" s="15">
        <f ca="1">IF(G160&gt;0,'B. Implementation Plan'!E133,0)</f>
        <v>0</v>
      </c>
      <c r="H161" s="15">
        <f ca="1">IF(H160&gt;0,'B. Implementation Plan'!E133,0)</f>
        <v>0</v>
      </c>
      <c r="I161" s="15">
        <f ca="1">IF(I160&gt;0,'B. Implementation Plan'!E133,0)</f>
        <v>0</v>
      </c>
      <c r="J161" s="15">
        <f ca="1">IF(J160&gt;0,'B. Implementation Plan'!E133,0)</f>
        <v>0</v>
      </c>
      <c r="K161" s="15">
        <f ca="1">IF(K160&gt;0,'B. Implementation Plan'!E133,0)</f>
        <v>0</v>
      </c>
      <c r="L161" s="15">
        <f ca="1">IF(L160&gt;0,'B. Implementation Plan'!E133,0)</f>
        <v>0</v>
      </c>
      <c r="M161" s="15">
        <f ca="1">IF(M160&gt;0,'B. Implementation Plan'!E133,0)</f>
        <v>0</v>
      </c>
      <c r="N161" s="15">
        <f ca="1">IF(N160&gt;0,'B. Implementation Plan'!E133,0)</f>
        <v>0</v>
      </c>
      <c r="O161" s="15">
        <f ca="1">IF(O160&gt;0,'B. Implementation Plan'!E133,0)</f>
        <v>0</v>
      </c>
      <c r="P161" s="78">
        <f ca="1">IF(O161=0,IF(N161=0,IF(M161=0,IF(L161=0,IF(K161=0,IF(J161=0,IF(I161=0,IF(H161=0,IF(G161=0,IF(F161=0,E161,F161),G161),H161),I161),J161),K161),L161),M161),N161),O161)</f>
        <v>0</v>
      </c>
    </row>
    <row r="162" spans="1:16" x14ac:dyDescent="0.3">
      <c r="C162" s="59" t="s">
        <v>460</v>
      </c>
      <c r="E162" s="324">
        <f ca="1">IF(E160&gt;0,ROUND('B. Implementation Plan'!E133*(1-'B. Implementation Plan'!P147)^E159,0),0)</f>
        <v>0</v>
      </c>
      <c r="F162" s="324">
        <f ca="1">IF(F160&gt;0,ROUND('B. Implementation Plan'!E133*(1-'B. Implementation Plan'!P147)^F159,0),0)</f>
        <v>0</v>
      </c>
      <c r="G162" s="324">
        <f ca="1">IF(G160&gt;0,ROUND('B. Implementation Plan'!E133*(1-'B. Implementation Plan'!P147)^G159,0),0)</f>
        <v>0</v>
      </c>
      <c r="H162" s="324">
        <f ca="1">IF(H160&gt;0,ROUND('B. Implementation Plan'!E133*(1-'B. Implementation Plan'!P147)^H159,0),0)</f>
        <v>0</v>
      </c>
      <c r="I162" s="324">
        <f ca="1">IF(I160&gt;0,ROUND('B. Implementation Plan'!E133*(1-'B. Implementation Plan'!P147)^I159,0),0)</f>
        <v>0</v>
      </c>
      <c r="J162" s="324">
        <f ca="1">IF(J160&gt;0,ROUND('B. Implementation Plan'!E133*(1-'B. Implementation Plan'!P147)^J159,0),0)</f>
        <v>0</v>
      </c>
      <c r="K162" s="324">
        <f ca="1">IF(K160&gt;0,ROUND('B. Implementation Plan'!E133*(1-'B. Implementation Plan'!P147)^K159,0),0)</f>
        <v>0</v>
      </c>
      <c r="L162" s="324">
        <f ca="1">IF(L160&gt;0,ROUND('B. Implementation Plan'!E133*(1-'B. Implementation Plan'!P147)^L159,0),0)</f>
        <v>0</v>
      </c>
      <c r="M162" s="324">
        <f ca="1">IF(M160&gt;0,ROUND('B. Implementation Plan'!E133*(1-'B. Implementation Plan'!P147)^M159,0),0)</f>
        <v>0</v>
      </c>
      <c r="N162" s="324">
        <f ca="1">IF(N160&gt;0,ROUND('B. Implementation Plan'!E133*(1-'B. Implementation Plan'!P147)^N159,0),0)</f>
        <v>0</v>
      </c>
      <c r="O162" s="324">
        <f ca="1">IF(O160&gt;0,ROUND('B. Implementation Plan'!E133*(1-'B. Implementation Plan'!P147)^O159,0),0)</f>
        <v>0</v>
      </c>
      <c r="P162" s="78">
        <f ca="1">IF(O162=0,IF(N162=0,IF(M162=0,IF(L162=0,IF(K162=0,IF(J162=0,IF(I162=0,IF(H162=0,IF(G162=0,IF(F162=0,E162,F162),G162),H162),I162),J162),K162),L162),M162),N162),O162)</f>
        <v>0</v>
      </c>
    </row>
    <row r="163" spans="1:16" s="1" customFormat="1" x14ac:dyDescent="0.3">
      <c r="C163" s="59" t="s">
        <v>480</v>
      </c>
      <c r="E163" s="380"/>
      <c r="F163" s="324">
        <f>IF('B. Implementation Plan'!P148=0,0,IF(F159&lt;=ROUNDUP(1/'B. Implementation Plan'!P148,0),ROUND(IF(AND(F159-1/'B. Implementation Plan'!P148&lt;1,F159-1/'B. Implementation Plan'!P148&gt;0),F162*MOD(1/'B. Implementation Plan'!P148,1)/(1/'B. Implementation Plan'!P148),MIN(F162-SUM(E163:E163),F162*'B. Implementation Plan'!P148)*(1-'B. Implementation Plan'!E134)*'B. Implementation Plan'!E140),0),0))</f>
        <v>0</v>
      </c>
      <c r="G163" s="324">
        <f>IF('B. Implementation Plan'!P148=0,0,IF(G159&lt;=ROUNDUP(1/'B. Implementation Plan'!P148,0),ROUND(IF(AND(G159-1/'B. Implementation Plan'!P148&lt;1,G159-1/'B. Implementation Plan'!P148&gt;0),G162*MOD(1/'B. Implementation Plan'!P148,1)/(1/'B. Implementation Plan'!P148),MIN(G162-SUM(E163:F163),G162*'B. Implementation Plan'!P148)*(1-'B. Implementation Plan'!E134)*'B. Implementation Plan'!E140),0),0))</f>
        <v>0</v>
      </c>
      <c r="H163" s="324">
        <f>IF('B. Implementation Plan'!P148=0,0,IF(H159&lt;=ROUNDUP(1/'B. Implementation Plan'!P148,0),ROUND(IF(AND(H159-1/'B. Implementation Plan'!P148&lt;1,H159-1/'B. Implementation Plan'!P148&gt;0),H162*MOD(1/'B. Implementation Plan'!P148,1)/(1/'B. Implementation Plan'!P148),MIN(H162-SUM(E163:G163),H162*'B. Implementation Plan'!P148)*(1-'B. Implementation Plan'!E134)*'B. Implementation Plan'!E140),0),0))</f>
        <v>0</v>
      </c>
      <c r="I163" s="324">
        <f>IF('B. Implementation Plan'!P148=0,0,IF(I159&lt;=ROUNDUP(1/'B. Implementation Plan'!P148,0),ROUND(IF(AND(I159-1/'B. Implementation Plan'!P148&lt;1,I159-1/'B. Implementation Plan'!P148&gt;0),I162*MOD(1/'B. Implementation Plan'!P148,1)/(1/'B. Implementation Plan'!P148),MIN(I162-SUM(E163:H163),I162*'B. Implementation Plan'!P148)*(1-'B. Implementation Plan'!E134)*'B. Implementation Plan'!E140),0),0))</f>
        <v>0</v>
      </c>
      <c r="J163" s="324">
        <f>IF('B. Implementation Plan'!P148=0,0,IF(J159&lt;=ROUNDUP(1/'B. Implementation Plan'!P148,0),ROUND(IF(AND(J159-1/'B. Implementation Plan'!P148&lt;1,J159-1/'B. Implementation Plan'!P148&gt;0),J162*MOD(1/'B. Implementation Plan'!P148,1)/(1/'B. Implementation Plan'!P148),MIN(J162-SUM(E163:I163),J162*'B. Implementation Plan'!P148)*(1-'B. Implementation Plan'!E134)*'B. Implementation Plan'!E140),0),0))</f>
        <v>0</v>
      </c>
      <c r="K163" s="324">
        <f>IF('B. Implementation Plan'!P148=0,0,IF(K159&lt;=ROUNDUP(1/'B. Implementation Plan'!P148,0),ROUND(IF(AND(K159-1/'B. Implementation Plan'!P148&lt;1,K159-1/'B. Implementation Plan'!P148&gt;0),K162*MOD(1/'B. Implementation Plan'!P148,1)/(1/'B. Implementation Plan'!P148),MIN(K162-SUM(E163:J163),K162*'B. Implementation Plan'!P148)*(1-'B. Implementation Plan'!E134)*'B. Implementation Plan'!E140),0),0))</f>
        <v>0</v>
      </c>
      <c r="L163" s="324">
        <f>IF('B. Implementation Plan'!P148=0,0,IF(L159&lt;=ROUNDUP(1/'B. Implementation Plan'!P148,0),ROUND(IF(AND(L159-1/'B. Implementation Plan'!P148&lt;1,L159-1/'B. Implementation Plan'!P148&gt;0),L162*MOD(1/'B. Implementation Plan'!P148,1)/(1/'B. Implementation Plan'!P148),MIN(L162-SUM(E163:K163),L162*'B. Implementation Plan'!P148)*(1-'B. Implementation Plan'!E134)*'B. Implementation Plan'!E140),0),0))</f>
        <v>0</v>
      </c>
      <c r="M163" s="324">
        <f>IF('B. Implementation Plan'!P148=0,0,IF(M159&lt;=ROUNDUP(1/'B. Implementation Plan'!P148,0),ROUND(IF(AND(M159-1/'B. Implementation Plan'!P148&lt;1,M159-1/'B. Implementation Plan'!P148&gt;0),M162*MOD(1/'B. Implementation Plan'!P148,1)/(1/'B. Implementation Plan'!P148),MIN(M162-SUM(E163:L163),M162*'B. Implementation Plan'!P148)*(1-'B. Implementation Plan'!E134)*'B. Implementation Plan'!E140),0),0))</f>
        <v>0</v>
      </c>
      <c r="N163" s="324">
        <f>IF('B. Implementation Plan'!P148=0,0,IF(N159&lt;=ROUNDUP(1/'B. Implementation Plan'!P148,0),ROUND(IF(AND(N159-1/'B. Implementation Plan'!P148&lt;1,N159-1/'B. Implementation Plan'!P148&gt;0),N162*MOD(1/'B. Implementation Plan'!P148,1)/(1/'B. Implementation Plan'!P148),MIN(N162-SUM(E163:M163),N162*'B. Implementation Plan'!P148)*(1-'B. Implementation Plan'!E134)*'B. Implementation Plan'!E140),0),0))</f>
        <v>0</v>
      </c>
      <c r="O163" s="324">
        <f>IF('B. Implementation Plan'!P148=0,0,IF(O159&lt;=ROUNDUP(1/'B. Implementation Plan'!P148,0),ROUND(IF(AND(O159-1/'B. Implementation Plan'!P148&lt;1,O159-1/'B. Implementation Plan'!P148&gt;0),O162*MOD(1/'B. Implementation Plan'!P148,1)/(1/'B. Implementation Plan'!P148),MIN(O162-SUM(E163:N163),O162*'B. Implementation Plan'!P148)*(1-'B. Implementation Plan'!E134)*'B. Implementation Plan'!E140),0),0))</f>
        <v>0</v>
      </c>
      <c r="P163" s="325">
        <f>SUM(E163:O163)</f>
        <v>0</v>
      </c>
    </row>
    <row r="164" spans="1:16" x14ac:dyDescent="0.3">
      <c r="C164" s="326" t="s">
        <v>458</v>
      </c>
      <c r="E164" s="15">
        <f t="shared" ref="E164:O164" ca="1" si="260">MAX(E160-E162,0)</f>
        <v>0</v>
      </c>
      <c r="F164" s="15">
        <f t="shared" ca="1" si="260"/>
        <v>0</v>
      </c>
      <c r="G164" s="15">
        <f t="shared" ca="1" si="260"/>
        <v>0</v>
      </c>
      <c r="H164" s="15">
        <f t="shared" ca="1" si="260"/>
        <v>0</v>
      </c>
      <c r="I164" s="15">
        <f t="shared" ca="1" si="260"/>
        <v>0</v>
      </c>
      <c r="J164" s="15">
        <f t="shared" ca="1" si="260"/>
        <v>0</v>
      </c>
      <c r="K164" s="15">
        <f t="shared" ca="1" si="260"/>
        <v>0</v>
      </c>
      <c r="L164" s="15">
        <f t="shared" ca="1" si="260"/>
        <v>0</v>
      </c>
      <c r="M164" s="15">
        <f t="shared" ca="1" si="260"/>
        <v>0</v>
      </c>
      <c r="N164" s="15">
        <f t="shared" ca="1" si="260"/>
        <v>0</v>
      </c>
      <c r="O164" s="366">
        <f t="shared" ca="1" si="260"/>
        <v>0</v>
      </c>
      <c r="P164" s="354">
        <f ca="1">IF(O164=0,IF(N164=0,IF(M164=0,IF(L164=0,IF(K164=0,IF(J164=0,IF(I164=0,IF(H164=0,IF(G164=0,IF(F164=0,E164,F164),G164),H164),I164),J164),K164),L164),M164),N164),O164)</f>
        <v>0</v>
      </c>
    </row>
    <row r="165" spans="1:16" ht="15" thickBot="1" x14ac:dyDescent="0.35">
      <c r="C165" s="59" t="s">
        <v>461</v>
      </c>
      <c r="E165" s="324">
        <f ca="1">IF(E160&gt;0,E164-D164+ROUND(D164*'B. Implementation Plan'!P147,0),0)</f>
        <v>0</v>
      </c>
      <c r="F165" s="324">
        <f ca="1">IF(F160&gt;0,F164-E164+ROUND(E164*'B. Implementation Plan'!P147,0),0)</f>
        <v>0</v>
      </c>
      <c r="G165" s="324">
        <f ca="1">IF(G160&gt;0,G164-F164+ROUND(F164*'B. Implementation Plan'!P147,0),0)</f>
        <v>0</v>
      </c>
      <c r="H165" s="324">
        <f ca="1">IF(H160&gt;0,H164-G164+ROUND(G164*'B. Implementation Plan'!P147,0),0)</f>
        <v>0</v>
      </c>
      <c r="I165" s="324">
        <f ca="1">IF(I160&gt;0,I164-H164+ROUND(H164*'B. Implementation Plan'!P147,0),0)</f>
        <v>0</v>
      </c>
      <c r="J165" s="324">
        <f ca="1">IF(J160&gt;0,J164-I164+ROUND(I164*'B. Implementation Plan'!P147,0),0)</f>
        <v>0</v>
      </c>
      <c r="K165" s="324">
        <f ca="1">IF(K160&gt;0,K164-J164+ROUND(J164*'B. Implementation Plan'!P147,0),0)</f>
        <v>0</v>
      </c>
      <c r="L165" s="324">
        <f ca="1">IF(L160&gt;0,L164-K164+ROUND(K164*'B. Implementation Plan'!P147,0),0)</f>
        <v>0</v>
      </c>
      <c r="M165" s="324">
        <f ca="1">IF(M160&gt;0,M164-L164+ROUND(L164*'B. Implementation Plan'!P147,0),0)</f>
        <v>0</v>
      </c>
      <c r="N165" s="324">
        <f ca="1">IF(N160&gt;0,N164-M164+ROUND(M164*'B. Implementation Plan'!P147,0),0)</f>
        <v>0</v>
      </c>
      <c r="O165" s="367">
        <f ca="1">IF(O160&gt;0,O164-N164+ROUND(N164*'B. Implementation Plan'!P147,0),0)</f>
        <v>0</v>
      </c>
      <c r="P165" s="79">
        <f ca="1">IF(O165=0,IF(N165=0,IF(M165=0,IF(L165=0,IF(K165=0,IF(J165=0,IF(I165=0,IF(H165=0,IF(G165=0,IF(F165=0,E165,F165),G165),H165),I165),J165),K165),L165),M165),N165),O165)</f>
        <v>0</v>
      </c>
    </row>
    <row r="166" spans="1:16" ht="15" thickBot="1" x14ac:dyDescent="0.35">
      <c r="C166" s="59" t="s">
        <v>474</v>
      </c>
    </row>
    <row r="167" spans="1:16" ht="15.6" x14ac:dyDescent="0.3">
      <c r="C167" s="326" t="s">
        <v>481</v>
      </c>
      <c r="F167" s="149">
        <v>1</v>
      </c>
      <c r="G167" s="149">
        <v>2</v>
      </c>
      <c r="H167" s="149">
        <v>3</v>
      </c>
      <c r="I167" s="149">
        <v>4</v>
      </c>
      <c r="J167" s="149">
        <v>5</v>
      </c>
      <c r="K167" s="149">
        <v>6</v>
      </c>
      <c r="L167" s="149">
        <v>7</v>
      </c>
      <c r="M167" s="149">
        <v>8</v>
      </c>
      <c r="N167" s="149">
        <v>9</v>
      </c>
      <c r="O167" s="374">
        <v>10</v>
      </c>
      <c r="P167" s="351" t="s">
        <v>2</v>
      </c>
    </row>
    <row r="168" spans="1:16" s="365" customFormat="1" x14ac:dyDescent="0.3">
      <c r="C168" s="370">
        <v>1</v>
      </c>
      <c r="E168"/>
      <c r="F168" s="347">
        <f>IF($C168&lt;=ROUNDUP('B. Implementation Plan'!P155,0),ROUND(IF(AND($C168-'B. Implementation Plan'!P155&lt;1,$C168-'B. Implementation Plan'!P155&gt;0),MOD('B. Implementation Plan'!P155,1)*F163*'B. Implementation Plan'!E142*(1-'B. Implementation Plan'!P147)^($C168-1),F163*'B. Implementation Plan'!E142*(1-'B. Implementation Plan'!P147)^($C168-1)),0),0)</f>
        <v>0</v>
      </c>
      <c r="G168" s="347">
        <f>IF($C168&lt;=ROUNDUP('B. Implementation Plan'!P155,0),ROUND(IF(AND($C168-'B. Implementation Plan'!P155&lt;1,$C168-'B. Implementation Plan'!P155&gt;0),MOD('B. Implementation Plan'!P155,1)*G163*'B. Implementation Plan'!E142*(1-'B. Implementation Plan'!P147)^($C168-1),G163*'B. Implementation Plan'!E142*(1-'B. Implementation Plan'!P147)^($C168-1)),0),0)</f>
        <v>0</v>
      </c>
      <c r="H168" s="347">
        <f>IF($C168&lt;=ROUNDUP('B. Implementation Plan'!P155,0),ROUND(IF(AND($C168-'B. Implementation Plan'!P155&lt;1,$C168-'B. Implementation Plan'!P155&gt;0),MOD('B. Implementation Plan'!P155,1)*H163*'B. Implementation Plan'!E142*(1-'B. Implementation Plan'!P147)^($C168-1),H163*'B. Implementation Plan'!E142*(1-'B. Implementation Plan'!P147)^($C168-1)),0),0)</f>
        <v>0</v>
      </c>
      <c r="I168" s="347">
        <f>IF($C168&lt;=ROUNDUP('B. Implementation Plan'!P155,0),ROUND(IF(AND($C168-'B. Implementation Plan'!P155&lt;1,$C168-'B. Implementation Plan'!P155&gt;0),MOD('B. Implementation Plan'!P155,1)*I163*'B. Implementation Plan'!E142*(1-'B. Implementation Plan'!P147)^($C168-1),I163*'B. Implementation Plan'!E142*(1-'B. Implementation Plan'!P147)^($C168-1)),0),0)</f>
        <v>0</v>
      </c>
      <c r="J168" s="347">
        <f>IF($C168&lt;=ROUNDUP('B. Implementation Plan'!P155,0),ROUND(IF(AND($C168-'B. Implementation Plan'!P155&lt;1,$C168-'B. Implementation Plan'!P155&gt;0),MOD('B. Implementation Plan'!P155,1)*J163*'B. Implementation Plan'!E142*(1-'B. Implementation Plan'!P147)^($C168-1),J163*'B. Implementation Plan'!E142*(1-'B. Implementation Plan'!P147)^($C168-1)),0),0)</f>
        <v>0</v>
      </c>
      <c r="K168" s="347">
        <f>IF($C168&lt;=ROUNDUP('B. Implementation Plan'!P155,0),ROUND(IF(AND($C168-'B. Implementation Plan'!P155&lt;1,$C168-'B. Implementation Plan'!P155&gt;0),MOD('B. Implementation Plan'!P155,1)*K163*'B. Implementation Plan'!E142*(1-'B. Implementation Plan'!P147)^($C168-1),K163*'B. Implementation Plan'!E142*(1-'B. Implementation Plan'!P147)^($C168-1)),0),0)</f>
        <v>0</v>
      </c>
      <c r="L168" s="347">
        <f>IF($C168&lt;=ROUNDUP('B. Implementation Plan'!P155,0),ROUND(IF(AND($C168-'B. Implementation Plan'!P155&lt;1,$C168-'B. Implementation Plan'!P155&gt;0),MOD('B. Implementation Plan'!P155,1)*L163*'B. Implementation Plan'!E142*(1-'B. Implementation Plan'!P147)^($C168-1),L163*'B. Implementation Plan'!E142*(1-'B. Implementation Plan'!P147)^($C168-1)),0),0)</f>
        <v>0</v>
      </c>
      <c r="M168" s="347">
        <f>IF($C168&lt;=ROUNDUP('B. Implementation Plan'!P155,0),ROUND(IF(AND($C168-'B. Implementation Plan'!P155&lt;1,$C168-'B. Implementation Plan'!P155&gt;0),MOD('B. Implementation Plan'!P155,1)*M163*'B. Implementation Plan'!E142*(1-'B. Implementation Plan'!P147)^($C168-1),M163*'B. Implementation Plan'!E142*(1-'B. Implementation Plan'!P147)^($C168-1)),0),0)</f>
        <v>0</v>
      </c>
      <c r="N168" s="347">
        <f>IF($C168&lt;=ROUNDUP('B. Implementation Plan'!P155,0),ROUND(IF(AND($C168-'B. Implementation Plan'!P155&lt;1,$C168-'B. Implementation Plan'!P155&gt;0),MOD('B. Implementation Plan'!P155,1)*N163*'B. Implementation Plan'!E142*(1-'B. Implementation Plan'!P147)^($C168-1),N163*'B. Implementation Plan'!E142*(1-'B. Implementation Plan'!P147)^($C168-1)),0),0)</f>
        <v>0</v>
      </c>
      <c r="O168" s="347">
        <f>IF($C168&lt;=ROUNDUP('B. Implementation Plan'!P155,0),ROUND(IF(AND($C168-'B. Implementation Plan'!P155&lt;1,$C168-'B. Implementation Plan'!P155&gt;0),MOD('B. Implementation Plan'!P155,1)*O163*'B. Implementation Plan'!E142*(1-'B. Implementation Plan'!P147)^($C168-1),O163*'B. Implementation Plan'!E142*(1-'B. Implementation Plan'!P147)^($C168-1)),0),0)</f>
        <v>0</v>
      </c>
      <c r="P168" s="78" t="str">
        <f>IF(SUM(F168:O168)&gt;0,SUM(F168:O168),"")</f>
        <v/>
      </c>
    </row>
    <row r="169" spans="1:16" s="365" customFormat="1" x14ac:dyDescent="0.3">
      <c r="C169" s="370">
        <v>2</v>
      </c>
      <c r="E169"/>
      <c r="F169"/>
      <c r="G169" s="347">
        <f>IF($C169&lt;=ROUNDUP('B. Implementation Plan'!P155,0),ROUND(IF(AND($C169-'B. Implementation Plan'!P155&lt;1,$C169-'B. Implementation Plan'!P155&gt;0),MOD('B. Implementation Plan'!P155,1)*F163*'B. Implementation Plan'!E142*(1-'B. Implementation Plan'!P147)^($C169-1),F163*'B. Implementation Plan'!E142*(1-'B. Implementation Plan'!P147)^($C169-1)),0),0)</f>
        <v>0</v>
      </c>
      <c r="H169" s="347">
        <f>IF($C169&lt;=ROUNDUP('B. Implementation Plan'!P155,0),ROUND(IF(AND($C169-'B. Implementation Plan'!P155&lt;1,$C169-'B. Implementation Plan'!P155&gt;0),MOD('B. Implementation Plan'!P155,1)*G163*'B. Implementation Plan'!E142*(1-'B. Implementation Plan'!P147)^($C169-1),G163*'B. Implementation Plan'!E142*(1-'B. Implementation Plan'!P147)^($C169-1)),0),0)</f>
        <v>0</v>
      </c>
      <c r="I169" s="347">
        <f>IF($C169&lt;=ROUNDUP('B. Implementation Plan'!P155,0),ROUND(IF(AND($C169-'B. Implementation Plan'!P155&lt;1,$C169-'B. Implementation Plan'!P155&gt;0),MOD('B. Implementation Plan'!P155,1)*H163*'B. Implementation Plan'!E142*(1-'B. Implementation Plan'!P147)^($C169-1),H163*'B. Implementation Plan'!E142*(1-'B. Implementation Plan'!P147)^($C169-1)),0),0)</f>
        <v>0</v>
      </c>
      <c r="J169" s="347">
        <f>IF($C169&lt;=ROUNDUP('B. Implementation Plan'!P155,0),ROUND(IF(AND($C169-'B. Implementation Plan'!P155&lt;1,$C169-'B. Implementation Plan'!P155&gt;0),MOD('B. Implementation Plan'!P155,1)*I163*'B. Implementation Plan'!E142*(1-'B. Implementation Plan'!P147)^($C169-1),I163*'B. Implementation Plan'!E142*(1-'B. Implementation Plan'!P147)^($C169-1)),0),0)</f>
        <v>0</v>
      </c>
      <c r="K169" s="347">
        <f>IF($C169&lt;=ROUNDUP('B. Implementation Plan'!P155,0),ROUND(IF(AND($C169-'B. Implementation Plan'!P155&lt;1,$C169-'B. Implementation Plan'!P155&gt;0),MOD('B. Implementation Plan'!P155,1)*J163*'B. Implementation Plan'!E142*(1-'B. Implementation Plan'!P147)^($C169-1),J163*'B. Implementation Plan'!E142*(1-'B. Implementation Plan'!P147)^($C169-1)),0),0)</f>
        <v>0</v>
      </c>
      <c r="L169" s="347">
        <f>IF($C169&lt;=ROUNDUP('B. Implementation Plan'!P155,0),ROUND(IF(AND($C169-'B. Implementation Plan'!P155&lt;1,$C169-'B. Implementation Plan'!P155&gt;0),MOD('B. Implementation Plan'!P155,1)*K163*'B. Implementation Plan'!E142*(1-'B. Implementation Plan'!P147)^($C169-1),K163*'B. Implementation Plan'!E142*(1-'B. Implementation Plan'!P147)^($C169-1)),0),0)</f>
        <v>0</v>
      </c>
      <c r="M169" s="347">
        <f>IF($C169&lt;=ROUNDUP('B. Implementation Plan'!P155,0),ROUND(IF(AND($C169-'B. Implementation Plan'!P155&lt;1,$C169-'B. Implementation Plan'!P155&gt;0),MOD('B. Implementation Plan'!P155,1)*L163*'B. Implementation Plan'!E142*(1-'B. Implementation Plan'!P147)^($C169-1),L163*'B. Implementation Plan'!E142*(1-'B. Implementation Plan'!P147)^($C169-1)),0),0)</f>
        <v>0</v>
      </c>
      <c r="N169" s="347">
        <f>IF($C169&lt;=ROUNDUP('B. Implementation Plan'!P155,0),ROUND(IF(AND($C169-'B. Implementation Plan'!P155&lt;1,$C169-'B. Implementation Plan'!P155&gt;0),MOD('B. Implementation Plan'!P155,1)*M163*'B. Implementation Plan'!E142*(1-'B. Implementation Plan'!P147)^($C169-1),M163*'B. Implementation Plan'!E142*(1-'B. Implementation Plan'!P147)^($C169-1)),0),0)</f>
        <v>0</v>
      </c>
      <c r="O169" s="347">
        <f>IF($C169&lt;=ROUNDUP('B. Implementation Plan'!P155,0),ROUND(IF(AND($C169-'B. Implementation Plan'!P155&lt;1,$C169-'B. Implementation Plan'!P155&gt;0),MOD('B. Implementation Plan'!P155,1)*N163*'B. Implementation Plan'!E142*(1-'B. Implementation Plan'!P147)^($C169-1),N163*'B. Implementation Plan'!E142*(1-'B. Implementation Plan'!P147)^($C169-1)),0),0)</f>
        <v>0</v>
      </c>
      <c r="P169" s="78" t="str">
        <f t="shared" ref="P169:P177" si="261">IF(SUM(F169:O169)&gt;0,SUM(F169:O169),"")</f>
        <v/>
      </c>
    </row>
    <row r="170" spans="1:16" s="365" customFormat="1" x14ac:dyDescent="0.3">
      <c r="C170" s="370">
        <v>3</v>
      </c>
      <c r="E170"/>
      <c r="F170"/>
      <c r="G170"/>
      <c r="H170" s="347">
        <f>IF($C170&lt;=ROUNDUP('B. Implementation Plan'!P155,0),ROUND(IF(AND($C170-'B. Implementation Plan'!P155&lt;1,$C170-'B. Implementation Plan'!P155&gt;0),MOD('B. Implementation Plan'!P155,1)*F163*'B. Implementation Plan'!E142*(1-'B. Implementation Plan'!P147)^($C170-1),F163*'B. Implementation Plan'!E142*(1-'B. Implementation Plan'!P147)^($C170-1)),0),0)</f>
        <v>0</v>
      </c>
      <c r="I170" s="347">
        <f>IF($C170&lt;=ROUNDUP('B. Implementation Plan'!P155,0),ROUND(IF(AND($C170-'B. Implementation Plan'!P155&lt;1,$C170-'B. Implementation Plan'!P155&gt;0),MOD('B. Implementation Plan'!P155,1)*G163*'B. Implementation Plan'!E142*(1-'B. Implementation Plan'!P147)^($C170-1),G163*'B. Implementation Plan'!E142*(1-'B. Implementation Plan'!P147)^($C170-1)),0),0)</f>
        <v>0</v>
      </c>
      <c r="J170" s="347">
        <f>IF($C170&lt;=ROUNDUP('B. Implementation Plan'!P155,0),ROUND(IF(AND($C170-'B. Implementation Plan'!P155&lt;1,$C170-'B. Implementation Plan'!P155&gt;0),MOD('B. Implementation Plan'!P155,1)*H163*'B. Implementation Plan'!E142*(1-'B. Implementation Plan'!P147)^($C170-1),H163*'B. Implementation Plan'!E142*(1-'B. Implementation Plan'!P147)^($C170-1)),0),0)</f>
        <v>0</v>
      </c>
      <c r="K170" s="347">
        <f>IF($C170&lt;=ROUNDUP('B. Implementation Plan'!P155,0),ROUND(IF(AND($C170-'B. Implementation Plan'!P155&lt;1,$C170-'B. Implementation Plan'!P155&gt;0),MOD('B. Implementation Plan'!P155,1)*I163*'B. Implementation Plan'!E142*(1-'B. Implementation Plan'!P147)^($C170-1),I163*'B. Implementation Plan'!E142*(1-'B. Implementation Plan'!P147)^($C170-1)),0),0)</f>
        <v>0</v>
      </c>
      <c r="L170" s="347">
        <f>IF($C170&lt;=ROUNDUP('B. Implementation Plan'!P155,0),ROUND(IF(AND($C170-'B. Implementation Plan'!P155&lt;1,$C170-'B. Implementation Plan'!P155&gt;0),MOD('B. Implementation Plan'!P155,1)*J163*'B. Implementation Plan'!E142*(1-'B. Implementation Plan'!P147)^($C170-1),J163*'B. Implementation Plan'!E142*(1-'B. Implementation Plan'!P147)^($C170-1)),0),0)</f>
        <v>0</v>
      </c>
      <c r="M170" s="347">
        <f>IF($C170&lt;=ROUNDUP('B. Implementation Plan'!P155,0),ROUND(IF(AND($C170-'B. Implementation Plan'!P155&lt;1,$C170-'B. Implementation Plan'!P155&gt;0),MOD('B. Implementation Plan'!P155,1)*K163*'B. Implementation Plan'!E142*(1-'B. Implementation Plan'!P147)^($C170-1),K163*'B. Implementation Plan'!E142*(1-'B. Implementation Plan'!P147)^($C170-1)),0),0)</f>
        <v>0</v>
      </c>
      <c r="N170" s="347">
        <f>IF($C170&lt;=ROUNDUP('B. Implementation Plan'!P155,0),ROUND(IF(AND($C170-'B. Implementation Plan'!P155&lt;1,$C170-'B. Implementation Plan'!P155&gt;0),MOD('B. Implementation Plan'!P155,1)*L163*'B. Implementation Plan'!E142*(1-'B. Implementation Plan'!P147)^($C170-1),L163*'B. Implementation Plan'!E142*(1-'B. Implementation Plan'!P147)^($C170-1)),0),0)</f>
        <v>0</v>
      </c>
      <c r="O170" s="347">
        <f>IF($C170&lt;=ROUNDUP('B. Implementation Plan'!P155,0),ROUND(IF(AND($C170-'B. Implementation Plan'!P155&lt;1,$C170-'B. Implementation Plan'!P155&gt;0),MOD('B. Implementation Plan'!P155,1)*M163*'B. Implementation Plan'!E142*(1-'B. Implementation Plan'!P147)^($C170-1),M163*'B. Implementation Plan'!E142*(1-'B. Implementation Plan'!P147)^($C170-1)),0),0)</f>
        <v>0</v>
      </c>
      <c r="P170" s="78" t="str">
        <f t="shared" si="261"/>
        <v/>
      </c>
    </row>
    <row r="171" spans="1:16" s="365" customFormat="1" x14ac:dyDescent="0.3">
      <c r="C171" s="370">
        <v>4</v>
      </c>
      <c r="E171"/>
      <c r="F171"/>
      <c r="G171"/>
      <c r="H171"/>
      <c r="I171" s="347">
        <f>IF($C171&lt;=ROUNDUP('B. Implementation Plan'!P155,0),ROUND(IF(AND($C171-'B. Implementation Plan'!P155&lt;1,$C171-'B. Implementation Plan'!P155&gt;0),MOD('B. Implementation Plan'!P155,1)*F163*'B. Implementation Plan'!E142*(1-'B. Implementation Plan'!P147)^($C171-1),F163*'B. Implementation Plan'!E142*(1-'B. Implementation Plan'!P147)^($C171-1)),0),0)</f>
        <v>0</v>
      </c>
      <c r="J171" s="347">
        <f>IF($C171&lt;=ROUNDUP('B. Implementation Plan'!P155,0),ROUND(IF(AND($C171-'B. Implementation Plan'!P155&lt;1,$C171-'B. Implementation Plan'!P155&gt;0),MOD('B. Implementation Plan'!P155,1)*G163*'B. Implementation Plan'!E142*(1-'B. Implementation Plan'!P147)^($C171-1),G163*'B. Implementation Plan'!E142*(1-'B. Implementation Plan'!P147)^($C171-1)),0),0)</f>
        <v>0</v>
      </c>
      <c r="K171" s="347">
        <f>IF($C171&lt;=ROUNDUP('B. Implementation Plan'!P155,0),ROUND(IF(AND($C171-'B. Implementation Plan'!P155&lt;1,$C171-'B. Implementation Plan'!P155&gt;0),MOD('B. Implementation Plan'!P155,1)*H163*'B. Implementation Plan'!E142*(1-'B. Implementation Plan'!P147)^($C171-1),H163*'B. Implementation Plan'!E142*(1-'B. Implementation Plan'!P147)^($C171-1)),0),0)</f>
        <v>0</v>
      </c>
      <c r="L171" s="347">
        <f>IF($C171&lt;=ROUNDUP('B. Implementation Plan'!P155,0),ROUND(IF(AND($C171-'B. Implementation Plan'!P155&lt;1,$C171-'B. Implementation Plan'!P155&gt;0),MOD('B. Implementation Plan'!P155,1)*I163*'B. Implementation Plan'!E142*(1-'B. Implementation Plan'!P147)^($C171-1),I163*'B. Implementation Plan'!E142*(1-'B. Implementation Plan'!P147)^($C171-1)),0),0)</f>
        <v>0</v>
      </c>
      <c r="M171" s="347">
        <f>IF($C171&lt;=ROUNDUP('B. Implementation Plan'!P155,0),ROUND(IF(AND($C171-'B. Implementation Plan'!P155&lt;1,$C171-'B. Implementation Plan'!P155&gt;0),MOD('B. Implementation Plan'!P155,1)*J163*'B. Implementation Plan'!E142*(1-'B. Implementation Plan'!P147)^($C171-1),J163*'B. Implementation Plan'!E142*(1-'B. Implementation Plan'!P147)^($C171-1)),0),0)</f>
        <v>0</v>
      </c>
      <c r="N171" s="347">
        <f>IF($C171&lt;=ROUNDUP('B. Implementation Plan'!P155,0),ROUND(IF(AND($C171-'B. Implementation Plan'!P155&lt;1,$C171-'B. Implementation Plan'!P155&gt;0),MOD('B. Implementation Plan'!P155,1)*K163*'B. Implementation Plan'!E142*(1-'B. Implementation Plan'!P147)^($C171-1),K163*'B. Implementation Plan'!E142*(1-'B. Implementation Plan'!P147)^($C171-1)),0),0)</f>
        <v>0</v>
      </c>
      <c r="O171" s="347">
        <f>IF($C171&lt;=ROUNDUP('B. Implementation Plan'!P155,0),ROUND(IF(AND($C171-'B. Implementation Plan'!P155&lt;1,$C171-'B. Implementation Plan'!P155&gt;0),MOD('B. Implementation Plan'!P155,1)*L163*'B. Implementation Plan'!E142*(1-'B. Implementation Plan'!P147)^($C171-1),L163*'B. Implementation Plan'!E142*(1-'B. Implementation Plan'!P147)^($C171-1)),0),0)</f>
        <v>0</v>
      </c>
      <c r="P171" s="78" t="str">
        <f t="shared" si="261"/>
        <v/>
      </c>
    </row>
    <row r="172" spans="1:16" s="365" customFormat="1" x14ac:dyDescent="0.3">
      <c r="C172" s="370">
        <v>5</v>
      </c>
      <c r="E172"/>
      <c r="F172"/>
      <c r="G172"/>
      <c r="H172"/>
      <c r="I172"/>
      <c r="J172" s="347">
        <f>IF($C172&lt;=ROUNDUP('B. Implementation Plan'!P155,0),ROUND(IF(AND($C172-'B. Implementation Plan'!P155&lt;1,$C172-'B. Implementation Plan'!P155&gt;0),MOD('B. Implementation Plan'!P155,1)*F163*'B. Implementation Plan'!E142*(1-'B. Implementation Plan'!P147)^($C172-1),F163*'B. Implementation Plan'!E142*(1-'B. Implementation Plan'!P147)^($C172-1)),0),0)</f>
        <v>0</v>
      </c>
      <c r="K172" s="347">
        <f>IF($C172&lt;=ROUNDUP('B. Implementation Plan'!P155,0),ROUND(IF(AND($C172-'B. Implementation Plan'!P155&lt;1,$C172-'B. Implementation Plan'!P155&gt;0),MOD('B. Implementation Plan'!P155,1)*G163*'B. Implementation Plan'!E142*(1-'B. Implementation Plan'!P147)^($C172-1),G163*'B. Implementation Plan'!E142*(1-'B. Implementation Plan'!P147)^($C172-1)),0),0)</f>
        <v>0</v>
      </c>
      <c r="L172" s="347">
        <f>IF($C172&lt;=ROUNDUP('B. Implementation Plan'!P155,0),ROUND(IF(AND($C172-'B. Implementation Plan'!P155&lt;1,$C172-'B. Implementation Plan'!P155&gt;0),MOD('B. Implementation Plan'!P155,1)*H163*'B. Implementation Plan'!E142*(1-'B. Implementation Plan'!P147)^($C172-1),H163*'B. Implementation Plan'!E142*(1-'B. Implementation Plan'!P147)^($C172-1)),0),0)</f>
        <v>0</v>
      </c>
      <c r="M172" s="347">
        <f>IF($C172&lt;=ROUNDUP('B. Implementation Plan'!P155,0),ROUND(IF(AND($C172-'B. Implementation Plan'!P155&lt;1,$C172-'B. Implementation Plan'!P155&gt;0),MOD('B. Implementation Plan'!P155,1)*I163*'B. Implementation Plan'!E142*(1-'B. Implementation Plan'!P147)^($C172-1),I163*'B. Implementation Plan'!E142*(1-'B. Implementation Plan'!P147)^($C172-1)),0),0)</f>
        <v>0</v>
      </c>
      <c r="N172" s="347">
        <f>IF($C172&lt;=ROUNDUP('B. Implementation Plan'!P155,0),ROUND(IF(AND($C172-'B. Implementation Plan'!P155&lt;1,$C172-'B. Implementation Plan'!P155&gt;0),MOD('B. Implementation Plan'!P155,1)*J163*'B. Implementation Plan'!E142*(1-'B. Implementation Plan'!P147)^($C172-1),J163*'B. Implementation Plan'!E142*(1-'B. Implementation Plan'!P147)^($C172-1)),0),0)</f>
        <v>0</v>
      </c>
      <c r="O172" s="347">
        <f>IF($C172&lt;=ROUNDUP('B. Implementation Plan'!P155,0),ROUND(IF(AND($C172-'B. Implementation Plan'!P155&lt;1,$C172-'B. Implementation Plan'!P155&gt;0),MOD('B. Implementation Plan'!P155,1)*K163*'B. Implementation Plan'!E142*(1-'B. Implementation Plan'!P147)^($C172-1),K163*'B. Implementation Plan'!E142*(1-'B. Implementation Plan'!P147)^($C172-1)),0),0)</f>
        <v>0</v>
      </c>
      <c r="P172" s="78" t="str">
        <f t="shared" si="261"/>
        <v/>
      </c>
    </row>
    <row r="173" spans="1:16" s="365" customFormat="1" x14ac:dyDescent="0.3">
      <c r="C173" s="370">
        <v>6</v>
      </c>
      <c r="E173"/>
      <c r="F173"/>
      <c r="G173"/>
      <c r="H173"/>
      <c r="I173"/>
      <c r="J173"/>
      <c r="K173" s="347">
        <f>IF($C173&lt;=ROUNDUP('B. Implementation Plan'!P155,0),ROUND(IF(AND($C173-'B. Implementation Plan'!P155&lt;1,$C173-'B. Implementation Plan'!P155&gt;0),MOD('B. Implementation Plan'!P155,1)*F163*'B. Implementation Plan'!E142*(1-'B. Implementation Plan'!P147)^($C173-1),F163*'B. Implementation Plan'!E142*(1-'B. Implementation Plan'!P147)^($C173-1)),0),0)</f>
        <v>0</v>
      </c>
      <c r="L173" s="347">
        <f>IF($C173&lt;=ROUNDUP('B. Implementation Plan'!P155,0),ROUND(IF(AND($C173-'B. Implementation Plan'!P155&lt;1,$C173-'B. Implementation Plan'!P155&gt;0),MOD('B. Implementation Plan'!P155,1)*G163*'B. Implementation Plan'!E142*(1-'B. Implementation Plan'!P147)^($C173-1),G163*'B. Implementation Plan'!E142*(1-'B. Implementation Plan'!P147)^($C173-1)),0),0)</f>
        <v>0</v>
      </c>
      <c r="M173" s="347">
        <f>IF($C173&lt;=ROUNDUP('B. Implementation Plan'!P155,0),ROUND(IF(AND($C173-'B. Implementation Plan'!P155&lt;1,$C173-'B. Implementation Plan'!P155&gt;0),MOD('B. Implementation Plan'!P155,1)*H163*'B. Implementation Plan'!E142*(1-'B. Implementation Plan'!P147)^($C173-1),H163*'B. Implementation Plan'!E142*(1-'B. Implementation Plan'!P147)^($C173-1)),0),0)</f>
        <v>0</v>
      </c>
      <c r="N173" s="347">
        <f>IF($C173&lt;=ROUNDUP('B. Implementation Plan'!P155,0),ROUND(IF(AND($C173-'B. Implementation Plan'!P155&lt;1,$C173-'B. Implementation Plan'!P155&gt;0),MOD('B. Implementation Plan'!P155,1)*I163*'B. Implementation Plan'!E142*(1-'B. Implementation Plan'!P147)^($C173-1),I163*'B. Implementation Plan'!E142*(1-'B. Implementation Plan'!P147)^($C173-1)),0),0)</f>
        <v>0</v>
      </c>
      <c r="O173" s="347">
        <f>IF($C173&lt;=ROUNDUP('B. Implementation Plan'!P155,0),ROUND(IF(AND($C173-'B. Implementation Plan'!P155&lt;1,$C173-'B. Implementation Plan'!P155&gt;0),MOD('B. Implementation Plan'!P155,1)*J163*'B. Implementation Plan'!E142*(1-'B. Implementation Plan'!P147)^($C173-1),J163*'B. Implementation Plan'!E142*(1-'B. Implementation Plan'!P147)^($C173-1)),0),0)</f>
        <v>0</v>
      </c>
      <c r="P173" s="78" t="str">
        <f t="shared" si="261"/>
        <v/>
      </c>
    </row>
    <row r="174" spans="1:16" s="365" customFormat="1" x14ac:dyDescent="0.3">
      <c r="C174" s="370">
        <v>7</v>
      </c>
      <c r="E174"/>
      <c r="F174"/>
      <c r="G174"/>
      <c r="H174"/>
      <c r="I174"/>
      <c r="J174"/>
      <c r="K174"/>
      <c r="L174" s="347">
        <f>IF($C174&lt;=ROUNDUP('B. Implementation Plan'!P155,0),ROUND(IF(AND($C174-'B. Implementation Plan'!P155&lt;1,$C174-'B. Implementation Plan'!P155&gt;0),MOD('B. Implementation Plan'!P155,1)*F163*'B. Implementation Plan'!E142*(1-'B. Implementation Plan'!P147)^($C174-1),F163*'B. Implementation Plan'!E142*(1-'B. Implementation Plan'!P147)^($C174-1)),0),0)</f>
        <v>0</v>
      </c>
      <c r="M174" s="347">
        <f>IF($C174&lt;=ROUNDUP('B. Implementation Plan'!P155,0),ROUND(IF(AND($C174-'B. Implementation Plan'!P155&lt;1,$C174-'B. Implementation Plan'!P155&gt;0),MOD('B. Implementation Plan'!P155,1)*G163*'B. Implementation Plan'!E142*(1-'B. Implementation Plan'!P147)^($C174-1),G163*'B. Implementation Plan'!E142*(1-'B. Implementation Plan'!P147)^($C174-1)),0),0)</f>
        <v>0</v>
      </c>
      <c r="N174" s="347">
        <f>IF($C174&lt;=ROUNDUP('B. Implementation Plan'!P155,0),ROUND(IF(AND($C174-'B. Implementation Plan'!P155&lt;1,$C174-'B. Implementation Plan'!P155&gt;0),MOD('B. Implementation Plan'!P155,1)*H163*'B. Implementation Plan'!E142*(1-'B. Implementation Plan'!P147)^($C174-1),H163*'B. Implementation Plan'!E142*(1-'B. Implementation Plan'!P147)^($C174-1)),0),0)</f>
        <v>0</v>
      </c>
      <c r="O174" s="347">
        <f>IF($C174&lt;=ROUNDUP('B. Implementation Plan'!P155,0),ROUND(IF(AND($C174-'B. Implementation Plan'!P155&lt;1,$C174-'B. Implementation Plan'!P155&gt;0),MOD('B. Implementation Plan'!P155,1)*I163*'B. Implementation Plan'!E142*(1-'B. Implementation Plan'!P147)^($C174-1),I163*'B. Implementation Plan'!E142*(1-'B. Implementation Plan'!P147)^($C174-1)),0),0)</f>
        <v>0</v>
      </c>
      <c r="P174" s="78" t="str">
        <f t="shared" si="261"/>
        <v/>
      </c>
    </row>
    <row r="175" spans="1:16" s="365" customFormat="1" x14ac:dyDescent="0.3">
      <c r="C175" s="370">
        <v>8</v>
      </c>
      <c r="E175"/>
      <c r="F175"/>
      <c r="G175"/>
      <c r="H175"/>
      <c r="I175"/>
      <c r="J175"/>
      <c r="K175"/>
      <c r="L175"/>
      <c r="M175" s="347">
        <f>IF($C175&lt;=ROUNDUP('B. Implementation Plan'!P155,0),ROUND(IF(AND($C175-'B. Implementation Plan'!P155&lt;1,$C175-'B. Implementation Plan'!P155&gt;0),MOD('B. Implementation Plan'!P155,1)*F163*'B. Implementation Plan'!E142*(1-'B. Implementation Plan'!P147)^($C175-1),F163*'B. Implementation Plan'!E142*(1-'B. Implementation Plan'!P147)^($C175-1)),0),0)</f>
        <v>0</v>
      </c>
      <c r="N175" s="347">
        <f>IF($C175&lt;=ROUNDUP('B. Implementation Plan'!P155,0),ROUND(IF(AND($C175-'B. Implementation Plan'!P155&lt;1,$C175-'B. Implementation Plan'!P155&gt;0),MOD('B. Implementation Plan'!P155,1)*G163*'B. Implementation Plan'!E142*(1-'B. Implementation Plan'!P147)^($C175-1),G163*'B. Implementation Plan'!E142*(1-'B. Implementation Plan'!P147)^($C175-1)),0),0)</f>
        <v>0</v>
      </c>
      <c r="O175" s="347">
        <f>IF($C175&lt;=ROUNDUP('B. Implementation Plan'!P155,0),ROUND(IF(AND($C175-'B. Implementation Plan'!P155&lt;1,$C175-'B. Implementation Plan'!P155&gt;0),MOD('B. Implementation Plan'!P155,1)*H163*'B. Implementation Plan'!E142*(1-'B. Implementation Plan'!P147)^($C175-1),H163*'B. Implementation Plan'!E142*(1-'B. Implementation Plan'!P147)^($C175-1)),0),0)</f>
        <v>0</v>
      </c>
      <c r="P175" s="78" t="str">
        <f t="shared" si="261"/>
        <v/>
      </c>
    </row>
    <row r="176" spans="1:16" s="365" customFormat="1" x14ac:dyDescent="0.3">
      <c r="C176" s="370">
        <v>9</v>
      </c>
      <c r="E176"/>
      <c r="F176"/>
      <c r="G176"/>
      <c r="H176"/>
      <c r="I176"/>
      <c r="J176"/>
      <c r="K176"/>
      <c r="L176"/>
      <c r="M176"/>
      <c r="N176" s="347">
        <f>IF($C176&lt;=ROUNDUP('B. Implementation Plan'!P155,0),ROUND(IF(AND($C176-'B. Implementation Plan'!P155&lt;1,$C176-'B. Implementation Plan'!P155&gt;0),MOD('B. Implementation Plan'!P155,1)*F163*'B. Implementation Plan'!E142*(1-'B. Implementation Plan'!P147)^($C176-1),F163*'B. Implementation Plan'!E142*(1-'B. Implementation Plan'!P147)^($C176-1)),0),0)</f>
        <v>0</v>
      </c>
      <c r="O176" s="347">
        <f>IF($C176&lt;=ROUNDUP('B. Implementation Plan'!P155,0),ROUND(IF(AND($C176-'B. Implementation Plan'!P155&lt;1,$C176-'B. Implementation Plan'!P155&gt;0),MOD('B. Implementation Plan'!P155,1)*G163*'B. Implementation Plan'!E142*(1-'B. Implementation Plan'!P147)^($C176-1),G163*'B. Implementation Plan'!E142*(1-'B. Implementation Plan'!P147)^($C176-1)),0),0)</f>
        <v>0</v>
      </c>
      <c r="P176" s="78" t="str">
        <f t="shared" si="261"/>
        <v/>
      </c>
    </row>
    <row r="177" spans="3:16" s="365" customFormat="1" x14ac:dyDescent="0.3">
      <c r="C177" s="370">
        <v>10</v>
      </c>
      <c r="E177"/>
      <c r="F177"/>
      <c r="G177"/>
      <c r="H177"/>
      <c r="I177"/>
      <c r="J177"/>
      <c r="K177"/>
      <c r="L177"/>
      <c r="M177"/>
      <c r="N177" s="19"/>
      <c r="O177" s="347">
        <f>IF($C177&lt;=ROUNDUP('B. Implementation Plan'!P155,0),ROUND(IF(AND($C177-'B. Implementation Plan'!P155&lt;1,$C177-'B. Implementation Plan'!P155&gt;0),MOD('B. Implementation Plan'!P155,1)*F163*'B. Implementation Plan'!E142*(1-'B. Implementation Plan'!P147)^($C177-1),F163*'B. Implementation Plan'!E142*(1-'B. Implementation Plan'!P147)^($C177-1)),0),0)</f>
        <v>0</v>
      </c>
      <c r="P177" s="78" t="str">
        <f t="shared" si="261"/>
        <v/>
      </c>
    </row>
    <row r="178" spans="3:16" s="1" customFormat="1" x14ac:dyDescent="0.3">
      <c r="C178" s="376" t="s">
        <v>476</v>
      </c>
      <c r="E178"/>
      <c r="F178" s="371">
        <f t="shared" ref="F178:O178" ca="1" si="262">IF(F160&gt;0,SUM(F168:F177),0)</f>
        <v>0</v>
      </c>
      <c r="G178" s="371">
        <f t="shared" ca="1" si="262"/>
        <v>0</v>
      </c>
      <c r="H178" s="371">
        <f t="shared" ca="1" si="262"/>
        <v>0</v>
      </c>
      <c r="I178" s="371">
        <f t="shared" ca="1" si="262"/>
        <v>0</v>
      </c>
      <c r="J178" s="371">
        <f t="shared" ca="1" si="262"/>
        <v>0</v>
      </c>
      <c r="K178" s="371">
        <f t="shared" ca="1" si="262"/>
        <v>0</v>
      </c>
      <c r="L178" s="371">
        <f t="shared" ca="1" si="262"/>
        <v>0</v>
      </c>
      <c r="M178" s="371">
        <f t="shared" ca="1" si="262"/>
        <v>0</v>
      </c>
      <c r="N178" s="371">
        <f t="shared" ca="1" si="262"/>
        <v>0</v>
      </c>
      <c r="O178" s="371">
        <f t="shared" ca="1" si="262"/>
        <v>0</v>
      </c>
      <c r="P178" s="325">
        <f ca="1">SUM(E178:O178)</f>
        <v>0</v>
      </c>
    </row>
    <row r="179" spans="3:16" s="1" customFormat="1" x14ac:dyDescent="0.3">
      <c r="C179" s="353" t="s">
        <v>463</v>
      </c>
      <c r="E179"/>
      <c r="F179" s="324">
        <f ca="1">MIN(IFERROR(ROUNDUP(IF(F160&gt;0,INDEX(F168:F177,MATCH(9.99999999999999E+307,P168:P177))/IF(MOD('B. Implementation Plan'!P155,1)=0,1,MOD('B. Implementation Plan'!P155,1)),0),0),0),MAX(E168:E177))</f>
        <v>0</v>
      </c>
      <c r="G179" s="324">
        <f ca="1">MIN(IFERROR(ROUNDUP(IF(G160&gt;0,INDEX(G168:G177,MATCH(9.99999999999999E+307,P168:P177))/IF(MOD('B. Implementation Plan'!P155,1)=0,1,MOD('B. Implementation Plan'!P155,1)),0),0),0),MAX(E168:F177))</f>
        <v>0</v>
      </c>
      <c r="H179" s="324">
        <f ca="1">MIN(IFERROR(ROUNDUP(IF(H160&gt;0,INDEX(H168:H177,MATCH(9.99999999999999E+307,P168:P177))/IF(MOD('B. Implementation Plan'!P155,1)=0,1,MOD('B. Implementation Plan'!P155,1)),0),0),0),MAX(E168:G177))</f>
        <v>0</v>
      </c>
      <c r="I179" s="324">
        <f ca="1">MIN(IFERROR(ROUNDUP(IF(I160&gt;0,INDEX(I168:I177,MATCH(9.99999999999999E+307,P168:P177))/IF(MOD('B. Implementation Plan'!P155,1)=0,1,MOD('B. Implementation Plan'!P155,1)),0),0),0),MAX(E168:H177))</f>
        <v>0</v>
      </c>
      <c r="J179" s="324">
        <f ca="1">MIN(IFERROR(ROUNDUP(IF(J160&gt;0,INDEX(J168:J177,MATCH(9.99999999999999E+307,P168:P177))/IF(MOD('B. Implementation Plan'!P155,1)=0,1,MOD('B. Implementation Plan'!P155,1)),0),0),0),MAX(E168:I177))</f>
        <v>0</v>
      </c>
      <c r="K179" s="324">
        <f ca="1">MIN(IFERROR(ROUNDUP(IF(K160&gt;0,INDEX(K168:K177,MATCH(9.99999999999999E+307,P168:P177))/IF(MOD('B. Implementation Plan'!P155,1)=0,1,MOD('B. Implementation Plan'!P155,1)),0),0),0),MAX(E168:J177))</f>
        <v>0</v>
      </c>
      <c r="L179" s="324">
        <f ca="1">MIN(IFERROR(ROUNDUP(IF(L160&gt;0,INDEX(L168:L177,MATCH(9.99999999999999E+307,P168:P177))/IF(MOD('B. Implementation Plan'!P155,1)=0,1,MOD('B. Implementation Plan'!P155,1)),0),0),0),MAX(E168:K177))</f>
        <v>0</v>
      </c>
      <c r="M179" s="324">
        <f ca="1">MIN(IFERROR(ROUNDUP(IF(M160&gt;0,INDEX(M168:M177,MATCH(9.99999999999999E+307,P168:P177))/IF(MOD('B. Implementation Plan'!P155,1)=0,1,MOD('B. Implementation Plan'!P155,1)),0),0),0),MAX(E168:L177))</f>
        <v>0</v>
      </c>
      <c r="N179" s="324">
        <f ca="1">MIN(IFERROR(ROUNDUP(IF(N160&gt;0,INDEX(N168:N177,MATCH(9.99999999999999E+307,P168:P177))/IF(MOD('B. Implementation Plan'!P155,1)=0,1,MOD('B. Implementation Plan'!P155,1)),0),0),0),MAX(E168:M177))</f>
        <v>0</v>
      </c>
      <c r="O179" s="324">
        <f ca="1">MIN(IFERROR(ROUNDUP(IF(O160&gt;0,INDEX(O168:O177,MATCH(9.99999999999999E+307,P168:P177))/IF(MOD('B. Implementation Plan'!P155,1)=0,1,MOD('B. Implementation Plan'!P155,1)),0),0),0),MAX(E168:N177))</f>
        <v>0</v>
      </c>
      <c r="P179" s="325">
        <f ca="1">SUM(E179:O179)</f>
        <v>0</v>
      </c>
    </row>
    <row r="180" spans="3:16" s="365" customFormat="1" x14ac:dyDescent="0.3">
      <c r="C180" s="326" t="s">
        <v>462</v>
      </c>
      <c r="E180"/>
      <c r="F180" s="347">
        <f ca="1">ROUNDUP(IF(F160&gt;0,IF(SUM(E179:F179,E180:E180)*'B. Implementation Plan'!P147&gt;P179,0,-ROUND(SUM(E179:F179,E180:E180)*'B. Implementation Plan'!P147,0)),0),0)</f>
        <v>0</v>
      </c>
      <c r="G180" s="347">
        <f ca="1">ROUNDUP(IF(G160&gt;0,IF(SUM(E179:G179,E180:F180)*'B. Implementation Plan'!P147&gt;P179,0,-ROUND(SUM(E179:G179,E180:F180)*'B. Implementation Plan'!P147,0)),0),0)</f>
        <v>0</v>
      </c>
      <c r="H180" s="347">
        <f ca="1">ROUNDUP(IF(H160&gt;0,IF(SUM(E179:H179,E180:G180)*'B. Implementation Plan'!P147&gt;P179,0,-ROUND(SUM(E179:H179,E180:G180)*'B. Implementation Plan'!P147,0)),0),0)</f>
        <v>0</v>
      </c>
      <c r="I180" s="347">
        <f ca="1">ROUNDUP(IF(I160&gt;0,IF(SUM(E179:I179,E180:H180)*'B. Implementation Plan'!P147&gt;P179,0,-ROUND(SUM(E179:I179,E180:H180)*'B. Implementation Plan'!P147,0)),0),0)</f>
        <v>0</v>
      </c>
      <c r="J180" s="347">
        <f ca="1">ROUNDUP(IF(J160&gt;0,IF(SUM(E179:J179,E180:I180)*'B. Implementation Plan'!P147&gt;P179,0,-ROUND(SUM(E179:J179,E180:I180)*'B. Implementation Plan'!P147,0)),0),0)</f>
        <v>0</v>
      </c>
      <c r="K180" s="347">
        <f ca="1">ROUNDUP(IF(K160&gt;0,IF(SUM(E179:K179,E180:J180)*'B. Implementation Plan'!P147&gt;P179,0,-ROUND(SUM(E179:K179,E180:J180)*'B. Implementation Plan'!P147,0)),0),0)</f>
        <v>0</v>
      </c>
      <c r="L180" s="347">
        <f ca="1">ROUNDUP(IF(L160&gt;0,IF(SUM(E179:L179,E180:K180)*'B. Implementation Plan'!P147&gt;P179,0,-ROUND(SUM(E179:L179,E180:K180)*'B. Implementation Plan'!P147,0)),0),0)</f>
        <v>0</v>
      </c>
      <c r="M180" s="347">
        <f ca="1">ROUNDUP(IF(M160&gt;0,IF(SUM(E179:M179,E180:L180)*'B. Implementation Plan'!P147&gt;P179,0,-ROUND(SUM(E179:M179,E180:L180)*'B. Implementation Plan'!P147,0)),0),0)</f>
        <v>0</v>
      </c>
      <c r="N180" s="347">
        <f ca="1">ROUNDUP(IF(N160&gt;0,IF(SUM(E179:N179,E180:M180)*'B. Implementation Plan'!P147&gt;P179,0,-ROUND(SUM(E179:N179,E180:M180)*'B. Implementation Plan'!P147,0)),0),0)</f>
        <v>0</v>
      </c>
      <c r="O180" s="347">
        <f ca="1">ROUNDUP(IF(O160&gt;0,IF(SUM(E179:O179,E180:N180)*'B. Implementation Plan'!P147&gt;P179,0,-ROUND(SUM(E179:O179,E180:N180)*'B. Implementation Plan'!P147,0)),0),0)</f>
        <v>0</v>
      </c>
      <c r="P180" s="354">
        <f ca="1">SUM(E180:O180)</f>
        <v>0</v>
      </c>
    </row>
    <row r="181" spans="3:16" s="365" customFormat="1" ht="15" thickBot="1" x14ac:dyDescent="0.35">
      <c r="C181" s="326" t="s">
        <v>464</v>
      </c>
      <c r="E181"/>
      <c r="F181" s="347">
        <f ca="1">IF(F160&gt;0,SUM(E179:F180),0)</f>
        <v>0</v>
      </c>
      <c r="G181" s="347">
        <f ca="1">IF(G160&gt;0,SUM(E179:G180),0)</f>
        <v>0</v>
      </c>
      <c r="H181" s="347">
        <f ca="1">IF(H160&gt;0,SUM(E179:H180),0)</f>
        <v>0</v>
      </c>
      <c r="I181" s="347">
        <f ca="1">IF(I160&gt;0,SUM(E179:I180),0)</f>
        <v>0</v>
      </c>
      <c r="J181" s="347">
        <f ca="1">IF(J160&gt;0,SUM(E179:J180),0)</f>
        <v>0</v>
      </c>
      <c r="K181" s="347">
        <f ca="1">IF(K160&gt;0,SUM(E179:K180),0)</f>
        <v>0</v>
      </c>
      <c r="L181" s="347">
        <f ca="1">IF(L160&gt;0,SUM(E179:L180),0)</f>
        <v>0</v>
      </c>
      <c r="M181" s="347">
        <f ca="1">IF(M160&gt;0,SUM(E179:M180),0)</f>
        <v>0</v>
      </c>
      <c r="N181" s="347">
        <f ca="1">IF(N160&gt;0,SUM(E179:N180),0)</f>
        <v>0</v>
      </c>
      <c r="O181" s="369">
        <f ca="1">IF(O160&gt;0,SUM(E179:O180),0)</f>
        <v>0</v>
      </c>
      <c r="P181" s="375">
        <f t="shared" ref="P181" ca="1" si="263">IF(O181=0,IF(N181=0,IF(M181=0,IF(L181=0,IF(K181=0,IF(J181=0,IF(I181=0,IF(H181=0,IF(G181=0,IF(F181=0,E181,F181),G181),H181),I181),J181),K181),L181),M181),N181),O181)</f>
        <v>0</v>
      </c>
    </row>
    <row r="182" spans="3:16" ht="15" thickBot="1" x14ac:dyDescent="0.35">
      <c r="C182" s="59" t="s">
        <v>465</v>
      </c>
    </row>
    <row r="183" spans="3:16" ht="15.6" x14ac:dyDescent="0.3">
      <c r="C183" s="326" t="s">
        <v>481</v>
      </c>
      <c r="F183" s="149">
        <v>1</v>
      </c>
      <c r="G183" s="149">
        <v>2</v>
      </c>
      <c r="H183" s="149">
        <v>3</v>
      </c>
      <c r="I183" s="149">
        <v>4</v>
      </c>
      <c r="J183" s="149">
        <v>5</v>
      </c>
      <c r="K183" s="149">
        <v>6</v>
      </c>
      <c r="L183" s="149">
        <v>7</v>
      </c>
      <c r="M183" s="149">
        <v>8</v>
      </c>
      <c r="N183" s="149">
        <v>9</v>
      </c>
      <c r="O183" s="374">
        <v>10</v>
      </c>
      <c r="P183" s="351" t="s">
        <v>2</v>
      </c>
    </row>
    <row r="184" spans="3:16" s="365" customFormat="1" x14ac:dyDescent="0.3">
      <c r="C184" s="370">
        <v>1</v>
      </c>
      <c r="E184"/>
      <c r="F184" s="347">
        <f>IF($C184&lt;=ROUNDUP('B. Implementation Plan'!P156,0),ROUND(IF(AND($C184-'B. Implementation Plan'!P156&lt;1,$C184-'B. Implementation Plan'!P156&gt;0),MOD('B. Implementation Plan'!P156,1)*F163*'B. Implementation Plan'!E144*(1-'B. Implementation Plan'!P147)^($C184-1),F163*'B. Implementation Plan'!E144*(1-'B. Implementation Plan'!P147)^($C184-1)),0),0)</f>
        <v>0</v>
      </c>
      <c r="G184" s="347">
        <f>IF($C184&lt;=ROUNDUP('B. Implementation Plan'!P156,0),ROUND(IF(AND($C184-'B. Implementation Plan'!P156&lt;1,$C184-'B. Implementation Plan'!P156&gt;0),MOD('B. Implementation Plan'!P156,1)*G163*'B. Implementation Plan'!E144*(1-'B. Implementation Plan'!P147)^($C184-1),G163*'B. Implementation Plan'!E144*(1-'B. Implementation Plan'!P147)^($C184-1)),0),0)</f>
        <v>0</v>
      </c>
      <c r="H184" s="347">
        <f>IF($C184&lt;=ROUNDUP('B. Implementation Plan'!P156,0),ROUND(IF(AND($C184-'B. Implementation Plan'!P156&lt;1,$C184-'B. Implementation Plan'!P156&gt;0),MOD('B. Implementation Plan'!P156,1)*H163*'B. Implementation Plan'!E144*(1-'B. Implementation Plan'!P147)^($C184-1),H163*'B. Implementation Plan'!E144*(1-'B. Implementation Plan'!P147)^($C184-1)),0),0)</f>
        <v>0</v>
      </c>
      <c r="I184" s="347">
        <f>IF($C184&lt;=ROUNDUP('B. Implementation Plan'!P156,0),ROUND(IF(AND($C184-'B. Implementation Plan'!P156&lt;1,$C184-'B. Implementation Plan'!P156&gt;0),MOD('B. Implementation Plan'!P156,1)*I163*'B. Implementation Plan'!E144*(1-'B. Implementation Plan'!P147)^($C184-1),I163*'B. Implementation Plan'!E144*(1-'B. Implementation Plan'!P147)^($C184-1)),0),0)</f>
        <v>0</v>
      </c>
      <c r="J184" s="347">
        <f>IF($C184&lt;=ROUNDUP('B. Implementation Plan'!P156,0),ROUND(IF(AND($C184-'B. Implementation Plan'!P156&lt;1,$C184-'B. Implementation Plan'!P156&gt;0),MOD('B. Implementation Plan'!P156,1)*J163*'B. Implementation Plan'!E144*(1-'B. Implementation Plan'!P147)^($C184-1),J163*'B. Implementation Plan'!E144*(1-'B. Implementation Plan'!P147)^($C184-1)),0),0)</f>
        <v>0</v>
      </c>
      <c r="K184" s="347">
        <f>IF($C184&lt;=ROUNDUP('B. Implementation Plan'!P156,0),ROUND(IF(AND($C184-'B. Implementation Plan'!P156&lt;1,$C184-'B. Implementation Plan'!P156&gt;0),MOD('B. Implementation Plan'!P156,1)*K163*'B. Implementation Plan'!E144*(1-'B. Implementation Plan'!P147)^($C184-1),K163*'B. Implementation Plan'!E144*(1-'B. Implementation Plan'!P147)^($C184-1)),0),0)</f>
        <v>0</v>
      </c>
      <c r="L184" s="347">
        <f>IF($C184&lt;=ROUNDUP('B. Implementation Plan'!P156,0),ROUND(IF(AND($C184-'B. Implementation Plan'!P156&lt;1,$C184-'B. Implementation Plan'!P156&gt;0),MOD('B. Implementation Plan'!P156,1)*L163*'B. Implementation Plan'!E144*(1-'B. Implementation Plan'!P147)^($C184-1),L163*'B. Implementation Plan'!E144*(1-'B. Implementation Plan'!P147)^($C184-1)),0),0)</f>
        <v>0</v>
      </c>
      <c r="M184" s="347">
        <f>IF($C184&lt;=ROUNDUP('B. Implementation Plan'!P156,0),ROUND(IF(AND($C184-'B. Implementation Plan'!P156&lt;1,$C184-'B. Implementation Plan'!P156&gt;0),MOD('B. Implementation Plan'!P156,1)*M163*'B. Implementation Plan'!E144*(1-'B. Implementation Plan'!P147)^($C184-1),M163*'B. Implementation Plan'!E144*(1-'B. Implementation Plan'!P147)^($C184-1)),0),0)</f>
        <v>0</v>
      </c>
      <c r="N184" s="347">
        <f>IF($C184&lt;=ROUNDUP('B. Implementation Plan'!P156,0),ROUND(IF(AND($C184-'B. Implementation Plan'!P156&lt;1,$C184-'B. Implementation Plan'!P156&gt;0),MOD('B. Implementation Plan'!P156,1)*N163*'B. Implementation Plan'!E144*(1-'B. Implementation Plan'!P147)^($C184-1),N163*'B. Implementation Plan'!E144*(1-'B. Implementation Plan'!P147)^($C184-1)),0),0)</f>
        <v>0</v>
      </c>
      <c r="O184" s="347">
        <f>IF($C184&lt;=ROUNDUP('B. Implementation Plan'!P156,0),ROUND(IF(AND($C184-'B. Implementation Plan'!P156&lt;1,$C184-'B. Implementation Plan'!P156&gt;0),MOD('B. Implementation Plan'!P156,1)*O163*'B. Implementation Plan'!E144*(1-'B. Implementation Plan'!P147)^($C184-1),O163*'B. Implementation Plan'!E144*(1-'B. Implementation Plan'!P147)^($C184-1)),0),0)</f>
        <v>0</v>
      </c>
      <c r="P184" s="78" t="str">
        <f>IF(SUM(F184:O184)&gt;0,SUM(F184:O184),"")</f>
        <v/>
      </c>
    </row>
    <row r="185" spans="3:16" s="365" customFormat="1" x14ac:dyDescent="0.3">
      <c r="C185" s="370">
        <v>2</v>
      </c>
      <c r="E185"/>
      <c r="F185"/>
      <c r="G185" s="347">
        <f>IF($C185&lt;=ROUNDUP('B. Implementation Plan'!P156,0),ROUND(IF(AND($C185-'B. Implementation Plan'!P156&lt;1,$C185-'B. Implementation Plan'!P156&gt;0),MOD('B. Implementation Plan'!P156,1)*F163*'B. Implementation Plan'!E144*(1-'B. Implementation Plan'!P147)^($C185-1),F163*'B. Implementation Plan'!E144*(1-'B. Implementation Plan'!P147)^($C185-1)),0),0)</f>
        <v>0</v>
      </c>
      <c r="H185" s="347">
        <f>IF($C185&lt;=ROUNDUP('B. Implementation Plan'!P156,0),ROUND(IF(AND($C185-'B. Implementation Plan'!P156&lt;1,$C185-'B. Implementation Plan'!P156&gt;0),MOD('B. Implementation Plan'!P156,1)*G163*'B. Implementation Plan'!E144*(1-'B. Implementation Plan'!P147)^($C185-1),G163*'B. Implementation Plan'!E144*(1-'B. Implementation Plan'!P147)^($C185-1)),0),0)</f>
        <v>0</v>
      </c>
      <c r="I185" s="347">
        <f>IF($C185&lt;=ROUNDUP('B. Implementation Plan'!P156,0),ROUND(IF(AND($C185-'B. Implementation Plan'!P156&lt;1,$C185-'B. Implementation Plan'!P156&gt;0),MOD('B. Implementation Plan'!P156,1)*H163*'B. Implementation Plan'!E144*(1-'B. Implementation Plan'!P147)^($C185-1),H163*'B. Implementation Plan'!E144*(1-'B. Implementation Plan'!P147)^($C185-1)),0),0)</f>
        <v>0</v>
      </c>
      <c r="J185" s="347">
        <f>IF($C185&lt;=ROUNDUP('B. Implementation Plan'!P156,0),ROUND(IF(AND($C185-'B. Implementation Plan'!P156&lt;1,$C185-'B. Implementation Plan'!P156&gt;0),MOD('B. Implementation Plan'!P156,1)*I163*'B. Implementation Plan'!E144*(1-'B. Implementation Plan'!P147)^($C185-1),I163*'B. Implementation Plan'!E144*(1-'B. Implementation Plan'!P147)^($C185-1)),0),0)</f>
        <v>0</v>
      </c>
      <c r="K185" s="347">
        <f>IF($C185&lt;=ROUNDUP('B. Implementation Plan'!P156,0),ROUND(IF(AND($C185-'B. Implementation Plan'!P156&lt;1,$C185-'B. Implementation Plan'!P156&gt;0),MOD('B. Implementation Plan'!P156,1)*J163*'B. Implementation Plan'!E144*(1-'B. Implementation Plan'!P147)^($C185-1),J163*'B. Implementation Plan'!E144*(1-'B. Implementation Plan'!P147)^($C185-1)),0),0)</f>
        <v>0</v>
      </c>
      <c r="L185" s="347">
        <f>IF($C185&lt;=ROUNDUP('B. Implementation Plan'!P156,0),ROUND(IF(AND($C185-'B. Implementation Plan'!P156&lt;1,$C185-'B. Implementation Plan'!P156&gt;0),MOD('B. Implementation Plan'!P156,1)*K163*'B. Implementation Plan'!E144*(1-'B. Implementation Plan'!P147)^($C185-1),K163*'B. Implementation Plan'!E144*(1-'B. Implementation Plan'!P147)^($C185-1)),0),0)</f>
        <v>0</v>
      </c>
      <c r="M185" s="347">
        <f>IF($C185&lt;=ROUNDUP('B. Implementation Plan'!P156,0),ROUND(IF(AND($C185-'B. Implementation Plan'!P156&lt;1,$C185-'B. Implementation Plan'!P156&gt;0),MOD('B. Implementation Plan'!P156,1)*L163*'B. Implementation Plan'!E144*(1-'B. Implementation Plan'!P147)^($C185-1),L163*'B. Implementation Plan'!E144*(1-'B. Implementation Plan'!P147)^($C185-1)),0),0)</f>
        <v>0</v>
      </c>
      <c r="N185" s="347">
        <f>IF($C185&lt;=ROUNDUP('B. Implementation Plan'!P156,0),ROUND(IF(AND($C185-'B. Implementation Plan'!P156&lt;1,$C185-'B. Implementation Plan'!P156&gt;0),MOD('B. Implementation Plan'!P156,1)*M163*'B. Implementation Plan'!E144*(1-'B. Implementation Plan'!P147)^($C185-1),M163*'B. Implementation Plan'!E144*(1-'B. Implementation Plan'!P147)^($C185-1)),0),0)</f>
        <v>0</v>
      </c>
      <c r="O185" s="347">
        <f>IF($C185&lt;=ROUNDUP('B. Implementation Plan'!P156,0),ROUND(IF(AND($C185-'B. Implementation Plan'!P156&lt;1,$C185-'B. Implementation Plan'!P156&gt;0),MOD('B. Implementation Plan'!P156,1)*N163*'B. Implementation Plan'!E144*(1-'B. Implementation Plan'!P147)^($C185-1),N163*'B. Implementation Plan'!E144*(1-'B. Implementation Plan'!P147)^($C185-1)),0),0)</f>
        <v>0</v>
      </c>
      <c r="P185" s="78" t="str">
        <f t="shared" ref="P185:P193" si="264">IF(SUM(F185:O185)&gt;0,SUM(F185:O185),"")</f>
        <v/>
      </c>
    </row>
    <row r="186" spans="3:16" s="365" customFormat="1" x14ac:dyDescent="0.3">
      <c r="C186" s="370">
        <v>3</v>
      </c>
      <c r="E186"/>
      <c r="F186"/>
      <c r="G186"/>
      <c r="H186" s="347">
        <f>IF($C186&lt;=ROUNDUP('B. Implementation Plan'!P156,0),ROUND(IF(AND($C186-'B. Implementation Plan'!P156&lt;1,$C186-'B. Implementation Plan'!P156&gt;0),MOD('B. Implementation Plan'!P156,1)*F163*'B. Implementation Plan'!E144*(1-'B. Implementation Plan'!P147)^($C186-1),F163*'B. Implementation Plan'!E144*(1-'B. Implementation Plan'!P147)^($C186-1)),0),0)</f>
        <v>0</v>
      </c>
      <c r="I186" s="347">
        <f>IF($C186&lt;=ROUNDUP('B. Implementation Plan'!P156,0),ROUND(IF(AND($C186-'B. Implementation Plan'!P156&lt;1,$C186-'B. Implementation Plan'!P156&gt;0),MOD('B. Implementation Plan'!P156,1)*G163*'B. Implementation Plan'!E144*(1-'B. Implementation Plan'!P147)^($C186-1),G163*'B. Implementation Plan'!E144*(1-'B. Implementation Plan'!P147)^($C186-1)),0),0)</f>
        <v>0</v>
      </c>
      <c r="J186" s="347">
        <f>IF($C186&lt;=ROUNDUP('B. Implementation Plan'!P156,0),ROUND(IF(AND($C186-'B. Implementation Plan'!P156&lt;1,$C186-'B. Implementation Plan'!P156&gt;0),MOD('B. Implementation Plan'!P156,1)*H163*'B. Implementation Plan'!E144*(1-'B. Implementation Plan'!P147)^($C186-1),H163*'B. Implementation Plan'!E144*(1-'B. Implementation Plan'!P147)^($C186-1)),0),0)</f>
        <v>0</v>
      </c>
      <c r="K186" s="347">
        <f>IF($C186&lt;=ROUNDUP('B. Implementation Plan'!P156,0),ROUND(IF(AND($C186-'B. Implementation Plan'!P156&lt;1,$C186-'B. Implementation Plan'!P156&gt;0),MOD('B. Implementation Plan'!P156,1)*I163*'B. Implementation Plan'!E144*(1-'B. Implementation Plan'!P147)^($C186-1),I163*'B. Implementation Plan'!E144*(1-'B. Implementation Plan'!P147)^($C186-1)),0),0)</f>
        <v>0</v>
      </c>
      <c r="L186" s="347">
        <f>IF($C186&lt;=ROUNDUP('B. Implementation Plan'!P156,0),ROUND(IF(AND($C186-'B. Implementation Plan'!P156&lt;1,$C186-'B. Implementation Plan'!P156&gt;0),MOD('B. Implementation Plan'!P156,1)*J163*'B. Implementation Plan'!E144*(1-'B. Implementation Plan'!P147)^($C186-1),J163*'B. Implementation Plan'!E144*(1-'B. Implementation Plan'!P147)^($C186-1)),0),0)</f>
        <v>0</v>
      </c>
      <c r="M186" s="347">
        <f>IF($C186&lt;=ROUNDUP('B. Implementation Plan'!P156,0),ROUND(IF(AND($C186-'B. Implementation Plan'!P156&lt;1,$C186-'B. Implementation Plan'!P156&gt;0),MOD('B. Implementation Plan'!P156,1)*K163*'B. Implementation Plan'!E144*(1-'B. Implementation Plan'!P147)^($C186-1),K163*'B. Implementation Plan'!E144*(1-'B. Implementation Plan'!P147)^($C186-1)),0),0)</f>
        <v>0</v>
      </c>
      <c r="N186" s="347">
        <f>IF($C186&lt;=ROUNDUP('B. Implementation Plan'!P156,0),ROUND(IF(AND($C186-'B. Implementation Plan'!P156&lt;1,$C186-'B. Implementation Plan'!P156&gt;0),MOD('B. Implementation Plan'!P156,1)*L163*'B. Implementation Plan'!E144*(1-'B. Implementation Plan'!P147)^($C186-1),L163*'B. Implementation Plan'!E144*(1-'B. Implementation Plan'!P147)^($C186-1)),0),0)</f>
        <v>0</v>
      </c>
      <c r="O186" s="347">
        <f>IF($C186&lt;=ROUNDUP('B. Implementation Plan'!P156,0),ROUND(IF(AND($C186-'B. Implementation Plan'!P156&lt;1,$C186-'B. Implementation Plan'!P156&gt;0),MOD('B. Implementation Plan'!P156,1)*M163*'B. Implementation Plan'!E144*(1-'B. Implementation Plan'!P147)^($C186-1),M163*'B. Implementation Plan'!E144*(1-'B. Implementation Plan'!P147)^($C186-1)),0),0)</f>
        <v>0</v>
      </c>
      <c r="P186" s="78" t="str">
        <f t="shared" si="264"/>
        <v/>
      </c>
    </row>
    <row r="187" spans="3:16" s="365" customFormat="1" x14ac:dyDescent="0.3">
      <c r="C187" s="370">
        <v>4</v>
      </c>
      <c r="E187"/>
      <c r="F187"/>
      <c r="G187"/>
      <c r="H187"/>
      <c r="I187" s="347">
        <f>IF($C187&lt;=ROUNDUP('B. Implementation Plan'!P156,0),ROUND(IF(AND($C187-'B. Implementation Plan'!P156&lt;1,$C187-'B. Implementation Plan'!P156&gt;0),MOD('B. Implementation Plan'!P156,1)*F163*'B. Implementation Plan'!E144*(1-'B. Implementation Plan'!P147)^($C187-1),F163*'B. Implementation Plan'!E144*(1-'B. Implementation Plan'!P147)^($C187-1)),0),0)</f>
        <v>0</v>
      </c>
      <c r="J187" s="347">
        <f>IF($C187&lt;=ROUNDUP('B. Implementation Plan'!P156,0),ROUND(IF(AND($C187-'B. Implementation Plan'!P156&lt;1,$C187-'B. Implementation Plan'!P156&gt;0),MOD('B. Implementation Plan'!P156,1)*G163*'B. Implementation Plan'!E144*(1-'B. Implementation Plan'!P147)^($C187-1),G163*'B. Implementation Plan'!E144*(1-'B. Implementation Plan'!P147)^($C187-1)),0),0)</f>
        <v>0</v>
      </c>
      <c r="K187" s="347">
        <f>IF($C187&lt;=ROUNDUP('B. Implementation Plan'!P156,0),ROUND(IF(AND($C187-'B. Implementation Plan'!P156&lt;1,$C187-'B. Implementation Plan'!P156&gt;0),MOD('B. Implementation Plan'!P156,1)*H163*'B. Implementation Plan'!E144*(1-'B. Implementation Plan'!P147)^($C187-1),H163*'B. Implementation Plan'!E144*(1-'B. Implementation Plan'!P147)^($C187-1)),0),0)</f>
        <v>0</v>
      </c>
      <c r="L187" s="347">
        <f>IF($C187&lt;=ROUNDUP('B. Implementation Plan'!P156,0),ROUND(IF(AND($C187-'B. Implementation Plan'!P156&lt;1,$C187-'B. Implementation Plan'!P156&gt;0),MOD('B. Implementation Plan'!P156,1)*I163*'B. Implementation Plan'!E144*(1-'B. Implementation Plan'!P147)^($C187-1),I163*'B. Implementation Plan'!E144*(1-'B. Implementation Plan'!P147)^($C187-1)),0),0)</f>
        <v>0</v>
      </c>
      <c r="M187" s="347">
        <f>IF($C187&lt;=ROUNDUP('B. Implementation Plan'!P156,0),ROUND(IF(AND($C187-'B. Implementation Plan'!P156&lt;1,$C187-'B. Implementation Plan'!P156&gt;0),MOD('B. Implementation Plan'!P156,1)*J163*'B. Implementation Plan'!E144*(1-'B. Implementation Plan'!P147)^($C187-1),J163*'B. Implementation Plan'!E144*(1-'B. Implementation Plan'!P147)^($C187-1)),0),0)</f>
        <v>0</v>
      </c>
      <c r="N187" s="347">
        <f>IF($C187&lt;=ROUNDUP('B. Implementation Plan'!P156,0),ROUND(IF(AND($C187-'B. Implementation Plan'!P156&lt;1,$C187-'B. Implementation Plan'!P156&gt;0),MOD('B. Implementation Plan'!P156,1)*K163*'B. Implementation Plan'!E144*(1-'B. Implementation Plan'!P147)^($C187-1),K163*'B. Implementation Plan'!E144*(1-'B. Implementation Plan'!P147)^($C187-1)),0),0)</f>
        <v>0</v>
      </c>
      <c r="O187" s="347">
        <f>IF($C187&lt;=ROUNDUP('B. Implementation Plan'!P156,0),ROUND(IF(AND($C187-'B. Implementation Plan'!P156&lt;1,$C187-'B. Implementation Plan'!P156&gt;0),MOD('B. Implementation Plan'!P156,1)*L163*'B. Implementation Plan'!E144*(1-'B. Implementation Plan'!P147)^($C187-1),L163*'B. Implementation Plan'!E144*(1-'B. Implementation Plan'!P147)^($C187-1)),0),0)</f>
        <v>0</v>
      </c>
      <c r="P187" s="78" t="str">
        <f t="shared" si="264"/>
        <v/>
      </c>
    </row>
    <row r="188" spans="3:16" s="365" customFormat="1" x14ac:dyDescent="0.3">
      <c r="C188" s="370">
        <v>5</v>
      </c>
      <c r="E188"/>
      <c r="F188"/>
      <c r="G188"/>
      <c r="H188"/>
      <c r="I188"/>
      <c r="J188" s="347">
        <f>IF($C188&lt;=ROUNDUP('B. Implementation Plan'!P156,0),ROUND(IF(AND($C188-'B. Implementation Plan'!P156&lt;1,$C188-'B. Implementation Plan'!P156&gt;0),MOD('B. Implementation Plan'!P156,1)*F163*'B. Implementation Plan'!E144*(1-'B. Implementation Plan'!P147)^($C188-1),F163*'B. Implementation Plan'!E144*(1-'B. Implementation Plan'!P147)^($C188-1)),0),0)</f>
        <v>0</v>
      </c>
      <c r="K188" s="347">
        <f>IF($C188&lt;=ROUNDUP('B. Implementation Plan'!P156,0),ROUND(IF(AND($C188-'B. Implementation Plan'!P156&lt;1,$C188-'B. Implementation Plan'!P156&gt;0),MOD('B. Implementation Plan'!P156,1)*G163*'B. Implementation Plan'!E144*(1-'B. Implementation Plan'!P147)^($C188-1),G163*'B. Implementation Plan'!E144*(1-'B. Implementation Plan'!P147)^($C188-1)),0),0)</f>
        <v>0</v>
      </c>
      <c r="L188" s="347">
        <f>IF($C188&lt;=ROUNDUP('B. Implementation Plan'!P156,0),ROUND(IF(AND($C188-'B. Implementation Plan'!P156&lt;1,$C188-'B. Implementation Plan'!P156&gt;0),MOD('B. Implementation Plan'!P156,1)*H163*'B. Implementation Plan'!E144*(1-'B. Implementation Plan'!P147)^($C188-1),H163*'B. Implementation Plan'!E144*(1-'B. Implementation Plan'!P147)^($C188-1)),0),0)</f>
        <v>0</v>
      </c>
      <c r="M188" s="347">
        <f>IF($C188&lt;=ROUNDUP('B. Implementation Plan'!P156,0),ROUND(IF(AND($C188-'B. Implementation Plan'!P156&lt;1,$C188-'B. Implementation Plan'!P156&gt;0),MOD('B. Implementation Plan'!P156,1)*I163*'B. Implementation Plan'!E144*(1-'B. Implementation Plan'!P147)^($C188-1),I163*'B. Implementation Plan'!E144*(1-'B. Implementation Plan'!P147)^($C188-1)),0),0)</f>
        <v>0</v>
      </c>
      <c r="N188" s="347">
        <f>IF($C188&lt;=ROUNDUP('B. Implementation Plan'!P156,0),ROUND(IF(AND($C188-'B. Implementation Plan'!P156&lt;1,$C188-'B. Implementation Plan'!P156&gt;0),MOD('B. Implementation Plan'!P156,1)*J163*'B. Implementation Plan'!E144*(1-'B. Implementation Plan'!P147)^($C188-1),J163*'B. Implementation Plan'!E144*(1-'B. Implementation Plan'!P147)^($C188-1)),0),0)</f>
        <v>0</v>
      </c>
      <c r="O188" s="347">
        <f>IF($C188&lt;=ROUNDUP('B. Implementation Plan'!P156,0),ROUND(IF(AND($C188-'B. Implementation Plan'!P156&lt;1,$C188-'B. Implementation Plan'!P156&gt;0),MOD('B. Implementation Plan'!P156,1)*K163*'B. Implementation Plan'!E144*(1-'B. Implementation Plan'!P147)^($C188-1),K163*'B. Implementation Plan'!E144*(1-'B. Implementation Plan'!P147)^($C188-1)),0),0)</f>
        <v>0</v>
      </c>
      <c r="P188" s="78" t="str">
        <f t="shared" si="264"/>
        <v/>
      </c>
    </row>
    <row r="189" spans="3:16" s="365" customFormat="1" x14ac:dyDescent="0.3">
      <c r="C189" s="370">
        <v>6</v>
      </c>
      <c r="E189"/>
      <c r="F189"/>
      <c r="G189"/>
      <c r="H189"/>
      <c r="I189"/>
      <c r="J189"/>
      <c r="K189" s="347">
        <f>IF($C189&lt;=ROUNDUP('B. Implementation Plan'!P156,0),ROUND(IF(AND($C189-'B. Implementation Plan'!P156&lt;1,$C189-'B. Implementation Plan'!P156&gt;0),MOD('B. Implementation Plan'!P156,1)*F163*'B. Implementation Plan'!E144*(1-'B. Implementation Plan'!P147)^($C189-1),F163*'B. Implementation Plan'!E144*(1-'B. Implementation Plan'!P147)^($C189-1)),0),0)</f>
        <v>0</v>
      </c>
      <c r="L189" s="347">
        <f>IF($C189&lt;=ROUNDUP('B. Implementation Plan'!P156,0),ROUND(IF(AND($C189-'B. Implementation Plan'!P156&lt;1,$C189-'B. Implementation Plan'!P156&gt;0),MOD('B. Implementation Plan'!P156,1)*G163*'B. Implementation Plan'!E144*(1-'B. Implementation Plan'!P147)^($C189-1),G163*'B. Implementation Plan'!E144*(1-'B. Implementation Plan'!P147)^($C189-1)),0),0)</f>
        <v>0</v>
      </c>
      <c r="M189" s="347">
        <f>IF($C189&lt;=ROUNDUP('B. Implementation Plan'!P156,0),ROUND(IF(AND($C189-'B. Implementation Plan'!P156&lt;1,$C189-'B. Implementation Plan'!P156&gt;0),MOD('B. Implementation Plan'!P156,1)*H163*'B. Implementation Plan'!E144*(1-'B. Implementation Plan'!P147)^($C189-1),H163*'B. Implementation Plan'!E144*(1-'B. Implementation Plan'!P147)^($C189-1)),0),0)</f>
        <v>0</v>
      </c>
      <c r="N189" s="347">
        <f>IF($C189&lt;=ROUNDUP('B. Implementation Plan'!P156,0),ROUND(IF(AND($C189-'B. Implementation Plan'!P156&lt;1,$C189-'B. Implementation Plan'!P156&gt;0),MOD('B. Implementation Plan'!P156,1)*I163*'B. Implementation Plan'!E144*(1-'B. Implementation Plan'!P147)^($C189-1),I163*'B. Implementation Plan'!E144*(1-'B. Implementation Plan'!P147)^($C189-1)),0),0)</f>
        <v>0</v>
      </c>
      <c r="O189" s="347">
        <f>IF($C189&lt;=ROUNDUP('B. Implementation Plan'!P156,0),ROUND(IF(AND($C189-'B. Implementation Plan'!P156&lt;1,$C189-'B. Implementation Plan'!P156&gt;0),MOD('B. Implementation Plan'!P156,1)*J163*'B. Implementation Plan'!E144*(1-'B. Implementation Plan'!P147)^($C189-1),J163*'B. Implementation Plan'!E144*(1-'B. Implementation Plan'!P147)^($C189-1)),0),0)</f>
        <v>0</v>
      </c>
      <c r="P189" s="78" t="str">
        <f t="shared" si="264"/>
        <v/>
      </c>
    </row>
    <row r="190" spans="3:16" s="365" customFormat="1" x14ac:dyDescent="0.3">
      <c r="C190" s="370">
        <v>7</v>
      </c>
      <c r="E190"/>
      <c r="F190"/>
      <c r="G190"/>
      <c r="H190"/>
      <c r="I190"/>
      <c r="J190"/>
      <c r="K190"/>
      <c r="L190" s="347">
        <f>IF($C190&lt;=ROUNDUP('B. Implementation Plan'!P156,0),ROUND(IF(AND($C190-'B. Implementation Plan'!P156&lt;1,$C190-'B. Implementation Plan'!P156&gt;0),MOD('B. Implementation Plan'!P156,1)*F163*'B. Implementation Plan'!E144*(1-'B. Implementation Plan'!P147)^($C190-1),F163*'B. Implementation Plan'!E144*(1-'B. Implementation Plan'!P147)^($C190-1)),0),0)</f>
        <v>0</v>
      </c>
      <c r="M190" s="347">
        <f>IF($C190&lt;=ROUNDUP('B. Implementation Plan'!P156,0),ROUND(IF(AND($C190-'B. Implementation Plan'!P156&lt;1,$C190-'B. Implementation Plan'!P156&gt;0),MOD('B. Implementation Plan'!P156,1)*G163*'B. Implementation Plan'!E144*(1-'B. Implementation Plan'!P147)^($C190-1),G163*'B. Implementation Plan'!E144*(1-'B. Implementation Plan'!P147)^($C190-1)),0),0)</f>
        <v>0</v>
      </c>
      <c r="N190" s="347">
        <f>IF($C190&lt;=ROUNDUP('B. Implementation Plan'!P156,0),ROUND(IF(AND($C190-'B. Implementation Plan'!P156&lt;1,$C190-'B. Implementation Plan'!P156&gt;0),MOD('B. Implementation Plan'!P156,1)*H163*'B. Implementation Plan'!E144*(1-'B. Implementation Plan'!P147)^($C190-1),H163*'B. Implementation Plan'!E144*(1-'B. Implementation Plan'!P147)^($C190-1)),0),0)</f>
        <v>0</v>
      </c>
      <c r="O190" s="347">
        <f>IF($C190&lt;=ROUNDUP('B. Implementation Plan'!P156,0),ROUND(IF(AND($C190-'B. Implementation Plan'!P156&lt;1,$C190-'B. Implementation Plan'!P156&gt;0),MOD('B. Implementation Plan'!P156,1)*I163*'B. Implementation Plan'!E144*(1-'B. Implementation Plan'!P147)^($C190-1),I163*'B. Implementation Plan'!E144*(1-'B. Implementation Plan'!P147)^($C190-1)),0),0)</f>
        <v>0</v>
      </c>
      <c r="P190" s="78" t="str">
        <f t="shared" si="264"/>
        <v/>
      </c>
    </row>
    <row r="191" spans="3:16" s="365" customFormat="1" x14ac:dyDescent="0.3">
      <c r="C191" s="370">
        <v>8</v>
      </c>
      <c r="E191"/>
      <c r="F191"/>
      <c r="G191"/>
      <c r="H191"/>
      <c r="I191"/>
      <c r="J191"/>
      <c r="K191"/>
      <c r="L191"/>
      <c r="M191" s="347">
        <f>IF($C191&lt;=ROUNDUP('B. Implementation Plan'!P156,0),ROUND(IF(AND($C191-'B. Implementation Plan'!P156&lt;1,$C191-'B. Implementation Plan'!P156&gt;0),MOD('B. Implementation Plan'!P156,1)*F163*'B. Implementation Plan'!E144*(1-'B. Implementation Plan'!P147)^($C191-1),F163*'B. Implementation Plan'!E144*(1-'B. Implementation Plan'!P147)^($C191-1)),0),0)</f>
        <v>0</v>
      </c>
      <c r="N191" s="347">
        <f>IF($C191&lt;=ROUNDUP('B. Implementation Plan'!P156,0),ROUND(IF(AND($C191-'B. Implementation Plan'!P156&lt;1,$C191-'B. Implementation Plan'!P156&gt;0),MOD('B. Implementation Plan'!P156,1)*G163*'B. Implementation Plan'!E144*(1-'B. Implementation Plan'!P147)^($C191-1),G163*'B. Implementation Plan'!E144*(1-'B. Implementation Plan'!P147)^($C191-1)),0),0)</f>
        <v>0</v>
      </c>
      <c r="O191" s="347">
        <f>IF($C191&lt;=ROUNDUP('B. Implementation Plan'!P156,0),ROUND(IF(AND($C191-'B. Implementation Plan'!P156&lt;1,$C191-'B. Implementation Plan'!P156&gt;0),MOD('B. Implementation Plan'!P156,1)*H163*'B. Implementation Plan'!E144*(1-'B. Implementation Plan'!P147)^($C191-1),H163*'B. Implementation Plan'!E144*(1-'B. Implementation Plan'!P147)^($C191-1)),0),0)</f>
        <v>0</v>
      </c>
      <c r="P191" s="78" t="str">
        <f t="shared" si="264"/>
        <v/>
      </c>
    </row>
    <row r="192" spans="3:16" s="365" customFormat="1" x14ac:dyDescent="0.3">
      <c r="C192" s="370">
        <v>9</v>
      </c>
      <c r="E192"/>
      <c r="F192"/>
      <c r="G192"/>
      <c r="H192"/>
      <c r="I192"/>
      <c r="J192"/>
      <c r="K192"/>
      <c r="L192"/>
      <c r="M192"/>
      <c r="N192" s="347">
        <f>IF($C192&lt;=ROUNDUP('B. Implementation Plan'!P156,0),ROUND(IF(AND($C192-'B. Implementation Plan'!P156&lt;1,$C192-'B. Implementation Plan'!P156&gt;0),MOD('B. Implementation Plan'!P156,1)*F163*'B. Implementation Plan'!E144*(1-'B. Implementation Plan'!P147)^($C192-1),F163*'B. Implementation Plan'!E144*(1-'B. Implementation Plan'!P147)^($C192-1)),0),0)</f>
        <v>0</v>
      </c>
      <c r="O192" s="347">
        <f>IF($C192&lt;=ROUNDUP('B. Implementation Plan'!P156,0),ROUND(IF(AND($C192-'B. Implementation Plan'!P156&lt;1,$C192-'B. Implementation Plan'!P156&gt;0),MOD('B. Implementation Plan'!P156,1)*G163*'B. Implementation Plan'!E144*(1-'B. Implementation Plan'!P147)^($C192-1),G163*'B. Implementation Plan'!E144*(1-'B. Implementation Plan'!P147)^($C192-1)),0),0)</f>
        <v>0</v>
      </c>
      <c r="P192" s="78" t="str">
        <f t="shared" si="264"/>
        <v/>
      </c>
    </row>
    <row r="193" spans="3:16" s="365" customFormat="1" x14ac:dyDescent="0.3">
      <c r="C193" s="370">
        <v>10</v>
      </c>
      <c r="E193"/>
      <c r="F193"/>
      <c r="G193"/>
      <c r="H193"/>
      <c r="I193"/>
      <c r="J193"/>
      <c r="K193"/>
      <c r="L193"/>
      <c r="M193"/>
      <c r="N193" s="19"/>
      <c r="O193" s="347">
        <f>IF($C193&lt;=ROUNDUP('B. Implementation Plan'!P156,0),ROUND(IF(AND($C193-'B. Implementation Plan'!P156&lt;1,$C193-'B. Implementation Plan'!P156&gt;0),MOD('B. Implementation Plan'!P156,1)*F163*'B. Implementation Plan'!E144*(1-'B. Implementation Plan'!P147)^($C193-1),F163*'B. Implementation Plan'!E144*(1-'B. Implementation Plan'!P147)^($C193-1)),0),0)</f>
        <v>0</v>
      </c>
      <c r="P193" s="78" t="str">
        <f t="shared" si="264"/>
        <v/>
      </c>
    </row>
    <row r="194" spans="3:16" s="1" customFormat="1" x14ac:dyDescent="0.3">
      <c r="C194" s="376" t="s">
        <v>475</v>
      </c>
      <c r="E194"/>
      <c r="F194" s="371">
        <f t="shared" ref="F194:O194" ca="1" si="265">IF(F160&gt;0,SUM(F184:F193),0)</f>
        <v>0</v>
      </c>
      <c r="G194" s="371">
        <f t="shared" ca="1" si="265"/>
        <v>0</v>
      </c>
      <c r="H194" s="371">
        <f t="shared" ca="1" si="265"/>
        <v>0</v>
      </c>
      <c r="I194" s="371">
        <f t="shared" ca="1" si="265"/>
        <v>0</v>
      </c>
      <c r="J194" s="371">
        <f t="shared" ca="1" si="265"/>
        <v>0</v>
      </c>
      <c r="K194" s="371">
        <f t="shared" ca="1" si="265"/>
        <v>0</v>
      </c>
      <c r="L194" s="371">
        <f t="shared" ca="1" si="265"/>
        <v>0</v>
      </c>
      <c r="M194" s="371">
        <f t="shared" ca="1" si="265"/>
        <v>0</v>
      </c>
      <c r="N194" s="371">
        <f t="shared" ca="1" si="265"/>
        <v>0</v>
      </c>
      <c r="O194" s="371">
        <f t="shared" ca="1" si="265"/>
        <v>0</v>
      </c>
      <c r="P194" s="325">
        <f ca="1">SUM(E194:O194)</f>
        <v>0</v>
      </c>
    </row>
    <row r="195" spans="3:16" s="1" customFormat="1" x14ac:dyDescent="0.3">
      <c r="C195" s="353" t="s">
        <v>478</v>
      </c>
      <c r="E195"/>
      <c r="F195" s="324">
        <f ca="1">MIN(IFERROR(ROUNDUP(IF(F160&gt;0,INDEX(F184:F193,MATCH(9.99999999999999E+307,P184:P193))/IF(MOD('B. Implementation Plan'!P156,1)=0,1,MOD('B. Implementation Plan'!P156,1)),0),0),0),MAX(E184:E193))</f>
        <v>0</v>
      </c>
      <c r="G195" s="324">
        <f ca="1">MIN(IFERROR(ROUNDUP(IF(G160&gt;0,INDEX(G184:G193,MATCH(9.99999999999999E+307,P184:P193))/IF(MOD('B. Implementation Plan'!P156,1)=0,1,MOD('B. Implementation Plan'!P156,1)),0),0),0),MAX(E184:F193))</f>
        <v>0</v>
      </c>
      <c r="H195" s="324">
        <f ca="1">MIN(IFERROR(ROUNDUP(IF(H160&gt;0,INDEX(H184:H193,MATCH(9.99999999999999E+307,P184:P193))/IF(MOD('B. Implementation Plan'!P156,1)=0,1,MOD('B. Implementation Plan'!P156,1)),0),0),0),MAX(E184:G193))</f>
        <v>0</v>
      </c>
      <c r="I195" s="324">
        <f ca="1">MIN(IFERROR(ROUNDUP(IF(I160&gt;0,INDEX(I184:I193,MATCH(9.99999999999999E+307,P184:P193))/IF(MOD('B. Implementation Plan'!P156,1)=0,1,MOD('B. Implementation Plan'!P156,1)),0),0),0),MAX(E184:H193))</f>
        <v>0</v>
      </c>
      <c r="J195" s="324">
        <f ca="1">MIN(IFERROR(ROUNDUP(IF(J160&gt;0,INDEX(J184:J193,MATCH(9.99999999999999E+307,P184:P193))/IF(MOD('B. Implementation Plan'!P156,1)=0,1,MOD('B. Implementation Plan'!P156,1)),0),0),0),MAX(E184:I193))</f>
        <v>0</v>
      </c>
      <c r="K195" s="324">
        <f ca="1">MIN(IFERROR(ROUNDUP(IF(K160&gt;0,INDEX(K184:K193,MATCH(9.99999999999999E+307,P184:P193))/IF(MOD('B. Implementation Plan'!P156,1)=0,1,MOD('B. Implementation Plan'!P156,1)),0),0),0),MAX(E184:J193))</f>
        <v>0</v>
      </c>
      <c r="L195" s="324">
        <f ca="1">MIN(IFERROR(ROUNDUP(IF(L160&gt;0,INDEX(L184:L193,MATCH(9.99999999999999E+307,P184:P193))/IF(MOD('B. Implementation Plan'!P156,1)=0,1,MOD('B. Implementation Plan'!P156,1)),0),0),0),MAX(E184:K193))</f>
        <v>0</v>
      </c>
      <c r="M195" s="324">
        <f ca="1">MIN(IFERROR(ROUNDUP(IF(M160&gt;0,INDEX(M184:M193,MATCH(9.99999999999999E+307,P184:P193))/IF(MOD('B. Implementation Plan'!P156,1)=0,1,MOD('B. Implementation Plan'!P156,1)),0),0),0),MAX(E184:L193))</f>
        <v>0</v>
      </c>
      <c r="N195" s="324">
        <f ca="1">MIN(IFERROR(ROUNDUP(IF(N160&gt;0,INDEX(N184:N193,MATCH(9.99999999999999E+307,P184:P193))/IF(MOD('B. Implementation Plan'!P156,1)=0,1,MOD('B. Implementation Plan'!P156,1)),0),0),0),MAX(E184:M193))</f>
        <v>0</v>
      </c>
      <c r="O195" s="324">
        <f ca="1">MIN(IFERROR(ROUNDUP(IF(O160&gt;0,INDEX(O184:O193,MATCH(9.99999999999999E+307,P184:P193))/IF(MOD('B. Implementation Plan'!P156,1)=0,1,MOD('B. Implementation Plan'!P156,1)),0),0),0),MAX(E184:N193))</f>
        <v>0</v>
      </c>
      <c r="P195" s="325">
        <f ca="1">SUM(E195:O195)</f>
        <v>0</v>
      </c>
    </row>
    <row r="196" spans="3:16" s="365" customFormat="1" x14ac:dyDescent="0.3">
      <c r="C196" s="326" t="s">
        <v>462</v>
      </c>
      <c r="E196"/>
      <c r="F196" s="347">
        <f ca="1">ROUNDUP(IF(F160&gt;0,IF(SUM(E195:F195,E196:E196)*'B. Implementation Plan'!P147&gt;P195,0,-ROUND(SUM(E195:F195,E196:E196)*'B. Implementation Plan'!P147,0)),0),0)</f>
        <v>0</v>
      </c>
      <c r="G196" s="347">
        <f ca="1">ROUNDUP(IF(G160&gt;0,IF(SUM(E195:G195,E196:F196)*'B. Implementation Plan'!P147&gt;P195,0,-ROUND(SUM(E195:G195,E196:F196)*'B. Implementation Plan'!P147,0)),0),0)</f>
        <v>0</v>
      </c>
      <c r="H196" s="347">
        <f ca="1">ROUNDUP(IF(H160&gt;0,IF(SUM(E195:H195,E196:G196)*'B. Implementation Plan'!P147&gt;P195,0,-ROUND(SUM(E195:H195,E196:G196)*'B. Implementation Plan'!P147,0)),0),0)</f>
        <v>0</v>
      </c>
      <c r="I196" s="347">
        <f ca="1">ROUNDUP(IF(I160&gt;0,IF(SUM(E195:I195,E196:H196)*'B. Implementation Plan'!P147&gt;P195,0,-ROUND(SUM(E195:I195,E196:H196)*'B. Implementation Plan'!P147,0)),0),0)</f>
        <v>0</v>
      </c>
      <c r="J196" s="347">
        <f ca="1">ROUNDUP(IF(J160&gt;0,IF(SUM(E195:J195,E196:I196)*'B. Implementation Plan'!P147&gt;P195,0,-ROUND(SUM(E195:J195,E196:I196)*'B. Implementation Plan'!P147,0)),0),0)</f>
        <v>0</v>
      </c>
      <c r="K196" s="347">
        <f ca="1">ROUNDUP(IF(K160&gt;0,IF(SUM(E195:K195,E196:J196)*'B. Implementation Plan'!P147&gt;P195,0,-ROUND(SUM(E195:K195,E196:J196)*'B. Implementation Plan'!P147,0)),0),0)</f>
        <v>0</v>
      </c>
      <c r="L196" s="347">
        <f ca="1">ROUNDUP(IF(L160&gt;0,IF(SUM(E195:L195,E196:K196)*'B. Implementation Plan'!P147&gt;P195,0,-ROUND(SUM(E195:L195,E196:K196)*'B. Implementation Plan'!P147,0)),0),0)</f>
        <v>0</v>
      </c>
      <c r="M196" s="347">
        <f ca="1">ROUNDUP(IF(M160&gt;0,IF(SUM(E195:M195,E196:L196)*'B. Implementation Plan'!P147&gt;P195,0,-ROUND(SUM(E195:M195,E196:L196)*'B. Implementation Plan'!P147,0)),0),0)</f>
        <v>0</v>
      </c>
      <c r="N196" s="347">
        <f ca="1">ROUNDUP(IF(N160&gt;0,IF(SUM(E195:N195,E196:M196)*'B. Implementation Plan'!P147&gt;P195,0,-ROUND(SUM(E195:N195,E196:M196)*'B. Implementation Plan'!P147,0)),0),0)</f>
        <v>0</v>
      </c>
      <c r="O196" s="347">
        <f ca="1">ROUNDUP(IF(O160&gt;0,IF(SUM(E195:O195,E196:N196)*'B. Implementation Plan'!P147&gt;P195,0,-ROUND(SUM(E195:O195,E196:N196)*'B. Implementation Plan'!P147,0)),0),0)</f>
        <v>0</v>
      </c>
      <c r="P196" s="354">
        <f ca="1">SUM(E196:O196)</f>
        <v>0</v>
      </c>
    </row>
    <row r="197" spans="3:16" s="365" customFormat="1" ht="15" thickBot="1" x14ac:dyDescent="0.35">
      <c r="C197" s="326" t="s">
        <v>464</v>
      </c>
      <c r="E197"/>
      <c r="F197" s="347">
        <f ca="1">IF(F160&gt;0,SUM(E195:F196),0)</f>
        <v>0</v>
      </c>
      <c r="G197" s="347">
        <f ca="1">IF(G160&gt;0,SUM(E195:G196),0)</f>
        <v>0</v>
      </c>
      <c r="H197" s="347">
        <f ca="1">IF(H160&gt;0,SUM(E195:H196),0)</f>
        <v>0</v>
      </c>
      <c r="I197" s="347">
        <f ca="1">IF(I160&gt;0,SUM(E195:I196),0)</f>
        <v>0</v>
      </c>
      <c r="J197" s="347">
        <f ca="1">IF(J160&gt;0,SUM(E195:J196),0)</f>
        <v>0</v>
      </c>
      <c r="K197" s="347">
        <f ca="1">IF(K160&gt;0,SUM(E195:K196),0)</f>
        <v>0</v>
      </c>
      <c r="L197" s="347">
        <f ca="1">IF(L160&gt;0,SUM(E195:L196),0)</f>
        <v>0</v>
      </c>
      <c r="M197" s="347">
        <f ca="1">IF(M160&gt;0,SUM(E195:M196),0)</f>
        <v>0</v>
      </c>
      <c r="N197" s="347">
        <f ca="1">IF(N160&gt;0,SUM(E195:N196),0)</f>
        <v>0</v>
      </c>
      <c r="O197" s="369">
        <f ca="1">IF(O160&gt;0,SUM(E195:O196),0)</f>
        <v>0</v>
      </c>
      <c r="P197" s="375">
        <f t="shared" ref="P197" ca="1" si="266">IF(O197=0,IF(N197=0,IF(M197=0,IF(L197=0,IF(K197=0,IF(J197=0,IF(I197=0,IF(H197=0,IF(G197=0,IF(F197=0,E197,F197),G197),H197),I197),J197),K197),L197),M197),N197),O197)</f>
        <v>0</v>
      </c>
    </row>
    <row r="198" spans="3:16" ht="15" thickBot="1" x14ac:dyDescent="0.35">
      <c r="C198" s="59" t="s">
        <v>466</v>
      </c>
    </row>
    <row r="199" spans="3:16" ht="15.6" x14ac:dyDescent="0.3">
      <c r="C199" s="326" t="s">
        <v>473</v>
      </c>
      <c r="F199" s="149">
        <v>1</v>
      </c>
      <c r="G199" s="149">
        <v>2</v>
      </c>
      <c r="H199" s="149">
        <v>3</v>
      </c>
      <c r="I199" s="149">
        <v>4</v>
      </c>
      <c r="J199" s="149">
        <v>5</v>
      </c>
      <c r="K199" s="149">
        <v>6</v>
      </c>
      <c r="L199" s="149">
        <v>7</v>
      </c>
      <c r="M199" s="149">
        <v>8</v>
      </c>
      <c r="N199" s="149">
        <v>9</v>
      </c>
      <c r="O199" s="374">
        <v>10</v>
      </c>
      <c r="P199" s="351" t="s">
        <v>2</v>
      </c>
    </row>
    <row r="200" spans="3:16" s="365" customFormat="1" x14ac:dyDescent="0.3">
      <c r="C200" s="370">
        <v>1</v>
      </c>
      <c r="E200"/>
      <c r="F200" s="347">
        <f ca="1">IF($C200&lt;=ROUNDUP('B. Implementation Plan'!P155,0),ROUND(IF(AND($C200-'B. Implementation Plan'!P155&lt;1,$C200-'B. Implementation Plan'!P155&gt;0),MOD('B. Implementation Plan'!P155,1)*(E165+F165)*(1-'B. Implementation Plan'!P149)*'B. Implementation Plan'!P152*'B. Implementation Plan'!P153*(1-'B. Implementation Plan'!P147)^($C200-1),(E165+F165)*(1-'B. Implementation Plan'!P149)*'B. Implementation Plan'!P152*'B. Implementation Plan'!P153*(1-'B. Implementation Plan'!P147)^($C200-1)),0),0)</f>
        <v>0</v>
      </c>
      <c r="G200" s="347">
        <f ca="1">IF($C200&lt;=ROUNDUP('B. Implementation Plan'!P155,0),ROUND(IF(AND($C200-'B. Implementation Plan'!P155&lt;1,$C200-'B. Implementation Plan'!P155&gt;0),MOD('B. Implementation Plan'!P155,1)*G165*(1-'B. Implementation Plan'!P149)*'B. Implementation Plan'!P152*'B. Implementation Plan'!P153*(1-'B. Implementation Plan'!P147)^($C200-1),G165*(1-'B. Implementation Plan'!P149)*'B. Implementation Plan'!P152*'B. Implementation Plan'!P153*(1-'B. Implementation Plan'!P147)^($C200-1)),0),0)</f>
        <v>0</v>
      </c>
      <c r="H200" s="347">
        <f ca="1">IF($C200&lt;=ROUNDUP('B. Implementation Plan'!P155,0),ROUND(IF(AND($C200-'B. Implementation Plan'!P155&lt;1,$C200-'B. Implementation Plan'!P155&gt;0),MOD('B. Implementation Plan'!P155,1)*H165*(1-'B. Implementation Plan'!P149)*'B. Implementation Plan'!P152*'B. Implementation Plan'!P153*(1-'B. Implementation Plan'!P147)^($C200-1),H165*(1-'B. Implementation Plan'!P149)*'B. Implementation Plan'!P152*'B. Implementation Plan'!P153*(1-'B. Implementation Plan'!P147)^($C200-1)),0),0)</f>
        <v>0</v>
      </c>
      <c r="I200" s="347">
        <f ca="1">IF($C200&lt;=ROUNDUP('B. Implementation Plan'!P155,0),ROUND(IF(AND($C200-'B. Implementation Plan'!P155&lt;1,$C200-'B. Implementation Plan'!P155&gt;0),MOD('B. Implementation Plan'!P155,1)*I165*(1-'B. Implementation Plan'!P149)*'B. Implementation Plan'!P152*'B. Implementation Plan'!P153*(1-'B. Implementation Plan'!P147)^($C200-1),I165*(1-'B. Implementation Plan'!P149)*'B. Implementation Plan'!P152*'B. Implementation Plan'!P153*(1-'B. Implementation Plan'!P147)^($C200-1)),0),0)</f>
        <v>0</v>
      </c>
      <c r="J200" s="347">
        <f ca="1">IF($C200&lt;=ROUNDUP('B. Implementation Plan'!P155,0),ROUND(IF(AND($C200-'B. Implementation Plan'!P155&lt;1,$C200-'B. Implementation Plan'!P155&gt;0),MOD('B. Implementation Plan'!P155,1)*J165*(1-'B. Implementation Plan'!P149)*'B. Implementation Plan'!P152*'B. Implementation Plan'!P153*(1-'B. Implementation Plan'!P147)^($C200-1),J165*(1-'B. Implementation Plan'!P149)*'B. Implementation Plan'!P152*'B. Implementation Plan'!P153*(1-'B. Implementation Plan'!P147)^($C200-1)),0),0)</f>
        <v>0</v>
      </c>
      <c r="K200" s="347">
        <f ca="1">IF($C200&lt;=ROUNDUP('B. Implementation Plan'!P155,0),ROUND(IF(AND($C200-'B. Implementation Plan'!P155&lt;1,$C200-'B. Implementation Plan'!P155&gt;0),MOD('B. Implementation Plan'!P155,1)*K165*(1-'B. Implementation Plan'!P149)*'B. Implementation Plan'!P152*'B. Implementation Plan'!P153*(1-'B. Implementation Plan'!P147)^($C200-1),K165*(1-'B. Implementation Plan'!P149)*'B. Implementation Plan'!P152*'B. Implementation Plan'!P153*(1-'B. Implementation Plan'!P147)^($C200-1)),0),0)</f>
        <v>0</v>
      </c>
      <c r="L200" s="347">
        <f ca="1">IF($C200&lt;=ROUNDUP('B. Implementation Plan'!P155,0),ROUND(IF(AND($C200-'B. Implementation Plan'!P155&lt;1,$C200-'B. Implementation Plan'!P155&gt;0),MOD('B. Implementation Plan'!P155,1)*L165*(1-'B. Implementation Plan'!P149)*'B. Implementation Plan'!P152*'B. Implementation Plan'!P153*(1-'B. Implementation Plan'!P147)^($C200-1),L165*(1-'B. Implementation Plan'!P149)*'B. Implementation Plan'!P152*'B. Implementation Plan'!P153*(1-'B. Implementation Plan'!P147)^($C200-1)),0),0)</f>
        <v>0</v>
      </c>
      <c r="M200" s="347">
        <f ca="1">IF($C200&lt;=ROUNDUP('B. Implementation Plan'!P155,0),ROUND(IF(AND($C200-'B. Implementation Plan'!P155&lt;1,$C200-'B. Implementation Plan'!P155&gt;0),MOD('B. Implementation Plan'!P155,1)*M165*(1-'B. Implementation Plan'!P149)*'B. Implementation Plan'!P152*'B. Implementation Plan'!P153*(1-'B. Implementation Plan'!P147)^($C200-1),M165*(1-'B. Implementation Plan'!P149)*'B. Implementation Plan'!P152*'B. Implementation Plan'!P153*(1-'B. Implementation Plan'!P147)^($C200-1)),0),0)</f>
        <v>0</v>
      </c>
      <c r="N200" s="347">
        <f ca="1">IF($C200&lt;=ROUNDUP('B. Implementation Plan'!P155,0),ROUND(IF(AND($C200-'B. Implementation Plan'!P155&lt;1,$C200-'B. Implementation Plan'!P155&gt;0),MOD('B. Implementation Plan'!P155,1)*N165*(1-'B. Implementation Plan'!P149)*'B. Implementation Plan'!P152*'B. Implementation Plan'!P153*(1-'B. Implementation Plan'!P147)^($C200-1),N165*(1-'B. Implementation Plan'!P149)*'B. Implementation Plan'!P152*'B. Implementation Plan'!P153*(1-'B. Implementation Plan'!P147)^($C200-1)),0),0)</f>
        <v>0</v>
      </c>
      <c r="O200" s="347">
        <f ca="1">IF($C200&lt;=ROUNDUP('B. Implementation Plan'!P155,0),ROUND(IF(AND($C200-'B. Implementation Plan'!P155&lt;1,$C200-'B. Implementation Plan'!P155&gt;0),MOD('B. Implementation Plan'!P155,1)*O165*(1-'B. Implementation Plan'!P149)*'B. Implementation Plan'!P152*'B. Implementation Plan'!P153*(1-'B. Implementation Plan'!P147)^($C200-1),O165*(1-'B. Implementation Plan'!P149)*'B. Implementation Plan'!P152*'B. Implementation Plan'!P153*(1-'B. Implementation Plan'!P147)^($C200-1)),0),0)</f>
        <v>0</v>
      </c>
      <c r="P200" s="78" t="str">
        <f ca="1">IF(SUM(F200:O200)&gt;0,SUM(F200:O200),"")</f>
        <v/>
      </c>
    </row>
    <row r="201" spans="3:16" s="365" customFormat="1" x14ac:dyDescent="0.3">
      <c r="C201" s="370">
        <v>2</v>
      </c>
      <c r="E201"/>
      <c r="F201"/>
      <c r="G201" s="347">
        <f ca="1">IF($C201&lt;=ROUNDUP('B. Implementation Plan'!P155,0),ROUND(IF(AND($C201-'B. Implementation Plan'!P155&lt;1,$C201-'B. Implementation Plan'!P155&gt;0),MOD('B. Implementation Plan'!P155,1)*(E165+F165)*(1-'B. Implementation Plan'!P149)*'B. Implementation Plan'!P152*'B. Implementation Plan'!P153*(1-'B. Implementation Plan'!P147)^($C201-1),(E165+F165)*(1-'B. Implementation Plan'!P149)*'B. Implementation Plan'!P152*'B. Implementation Plan'!P153*(1-'B. Implementation Plan'!P147)^($C201-1)),0),0)</f>
        <v>0</v>
      </c>
      <c r="H201" s="347">
        <f ca="1">IF($C201&lt;=ROUNDUP('B. Implementation Plan'!P155,0),ROUND(IF(AND($C201-'B. Implementation Plan'!P155&lt;1,$C201-'B. Implementation Plan'!P155&gt;0),MOD('B. Implementation Plan'!P155,1)*G165*(1-'B. Implementation Plan'!P149)*'B. Implementation Plan'!P152*'B. Implementation Plan'!P153*(1-'B. Implementation Plan'!P147)^($C201-1),G165*(1-'B. Implementation Plan'!P149)*'B. Implementation Plan'!P152*'B. Implementation Plan'!P153*(1-'B. Implementation Plan'!P147)^($C201-1)),0),0)</f>
        <v>0</v>
      </c>
      <c r="I201" s="347">
        <f ca="1">IF($C201&lt;=ROUNDUP('B. Implementation Plan'!P155,0),ROUND(IF(AND($C201-'B. Implementation Plan'!P155&lt;1,$C201-'B. Implementation Plan'!P155&gt;0),MOD('B. Implementation Plan'!P155,1)*H165*(1-'B. Implementation Plan'!P149)*'B. Implementation Plan'!P152*'B. Implementation Plan'!P153*(1-'B. Implementation Plan'!P147)^($C201-1),H165*(1-'B. Implementation Plan'!P149)*'B. Implementation Plan'!P152*'B. Implementation Plan'!P153*(1-'B. Implementation Plan'!P147)^($C201-1)),0),0)</f>
        <v>0</v>
      </c>
      <c r="J201" s="347">
        <f ca="1">IF($C201&lt;=ROUNDUP('B. Implementation Plan'!P155,0),ROUND(IF(AND($C201-'B. Implementation Plan'!P155&lt;1,$C201-'B. Implementation Plan'!P155&gt;0),MOD('B. Implementation Plan'!P155,1)*I165*(1-'B. Implementation Plan'!P149)*'B. Implementation Plan'!P152*'B. Implementation Plan'!P153*(1-'B. Implementation Plan'!P147)^($C201-1),I165*(1-'B. Implementation Plan'!P149)*'B. Implementation Plan'!P152*'B. Implementation Plan'!P153*(1-'B. Implementation Plan'!P147)^($C201-1)),0),0)</f>
        <v>0</v>
      </c>
      <c r="K201" s="347">
        <f ca="1">IF($C201&lt;=ROUNDUP('B. Implementation Plan'!P155,0),ROUND(IF(AND($C201-'B. Implementation Plan'!P155&lt;1,$C201-'B. Implementation Plan'!P155&gt;0),MOD('B. Implementation Plan'!P155,1)*J165*(1-'B. Implementation Plan'!P149)*'B. Implementation Plan'!P152*'B. Implementation Plan'!P153*(1-'B. Implementation Plan'!P147)^($C201-1),J165*(1-'B. Implementation Plan'!P149)*'B. Implementation Plan'!P152*'B. Implementation Plan'!P153*(1-'B. Implementation Plan'!P147)^($C201-1)),0),0)</f>
        <v>0</v>
      </c>
      <c r="L201" s="347">
        <f ca="1">IF($C201&lt;=ROUNDUP('B. Implementation Plan'!P155,0),ROUND(IF(AND($C201-'B. Implementation Plan'!P155&lt;1,$C201-'B. Implementation Plan'!P155&gt;0),MOD('B. Implementation Plan'!P155,1)*K165*(1-'B. Implementation Plan'!P149)*'B. Implementation Plan'!P152*'B. Implementation Plan'!P153*(1-'B. Implementation Plan'!P147)^($C201-1),K165*(1-'B. Implementation Plan'!P149)*'B. Implementation Plan'!P152*'B. Implementation Plan'!P153*(1-'B. Implementation Plan'!P147)^($C201-1)),0),0)</f>
        <v>0</v>
      </c>
      <c r="M201" s="347">
        <f ca="1">IF($C201&lt;=ROUNDUP('B. Implementation Plan'!P155,0),ROUND(IF(AND($C201-'B. Implementation Plan'!P155&lt;1,$C201-'B. Implementation Plan'!P155&gt;0),MOD('B. Implementation Plan'!P155,1)*L165*(1-'B. Implementation Plan'!P149)*'B. Implementation Plan'!P152*'B. Implementation Plan'!P153*(1-'B. Implementation Plan'!P147)^($C201-1),L165*(1-'B. Implementation Plan'!P149)*'B. Implementation Plan'!P152*'B. Implementation Plan'!P153*(1-'B. Implementation Plan'!P147)^($C201-1)),0),0)</f>
        <v>0</v>
      </c>
      <c r="N201" s="347">
        <f ca="1">IF($C201&lt;=ROUNDUP('B. Implementation Plan'!P155,0),ROUND(IF(AND($C201-'B. Implementation Plan'!P155&lt;1,$C201-'B. Implementation Plan'!P155&gt;0),MOD('B. Implementation Plan'!P155,1)*M165*(1-'B. Implementation Plan'!P149)*'B. Implementation Plan'!P152*'B. Implementation Plan'!P153*(1-'B. Implementation Plan'!P147)^($C201-1),M165*(1-'B. Implementation Plan'!P149)*'B. Implementation Plan'!P152*'B. Implementation Plan'!P153*(1-'B. Implementation Plan'!P147)^($C201-1)),0),0)</f>
        <v>0</v>
      </c>
      <c r="O201" s="347">
        <f ca="1">IF($C201&lt;=ROUNDUP('B. Implementation Plan'!P155,0),ROUND(IF(AND($C201-'B. Implementation Plan'!P155&lt;1,$C201-'B. Implementation Plan'!P155&gt;0),MOD('B. Implementation Plan'!P155,1)*N165*(1-'B. Implementation Plan'!P149)*'B. Implementation Plan'!P152*'B. Implementation Plan'!P153*(1-'B. Implementation Plan'!P147)^($C201-1),N165*(1-'B. Implementation Plan'!P149)*'B. Implementation Plan'!P152*'B. Implementation Plan'!P153*(1-'B. Implementation Plan'!P147)^($C201-1)),0),0)</f>
        <v>0</v>
      </c>
      <c r="P201" s="78" t="str">
        <f t="shared" ref="P201:P209" ca="1" si="267">IF(SUM(F201:O201)&gt;0,SUM(F201:O201),"")</f>
        <v/>
      </c>
    </row>
    <row r="202" spans="3:16" s="365" customFormat="1" x14ac:dyDescent="0.3">
      <c r="C202" s="370">
        <v>3</v>
      </c>
      <c r="E202"/>
      <c r="F202"/>
      <c r="G202"/>
      <c r="H202" s="347">
        <f ca="1">IF($C202&lt;=ROUNDUP('B. Implementation Plan'!P155,0),ROUND(IF(AND($C202-'B. Implementation Plan'!P155&lt;1,$C202-'B. Implementation Plan'!P155&gt;0),MOD('B. Implementation Plan'!P155,1)*(E165+F165)*(1-'B. Implementation Plan'!P149)*'B. Implementation Plan'!P152*'B. Implementation Plan'!P153*(1-'B. Implementation Plan'!P147)^($C202-1),(E165+F165)*(1-'B. Implementation Plan'!P149)*'B. Implementation Plan'!P152*'B. Implementation Plan'!P153*(1-'B. Implementation Plan'!P147)^($C202-1)),0),0)</f>
        <v>0</v>
      </c>
      <c r="I202" s="347">
        <f ca="1">IF($C202&lt;=ROUNDUP('B. Implementation Plan'!P155,0),ROUND(IF(AND($C202-'B. Implementation Plan'!P155&lt;1,$C202-'B. Implementation Plan'!P155&gt;0),MOD('B. Implementation Plan'!P155,1)*G165*(1-'B. Implementation Plan'!P149)*'B. Implementation Plan'!P152*'B. Implementation Plan'!P153*(1-'B. Implementation Plan'!P147)^($C202-1),G165*(1-'B. Implementation Plan'!P149)*'B. Implementation Plan'!P152*'B. Implementation Plan'!P153*(1-'B. Implementation Plan'!P147)^($C202-1)),0),0)</f>
        <v>0</v>
      </c>
      <c r="J202" s="347">
        <f ca="1">IF($C202&lt;=ROUNDUP('B. Implementation Plan'!P155,0),ROUND(IF(AND($C202-'B. Implementation Plan'!P155&lt;1,$C202-'B. Implementation Plan'!P155&gt;0),MOD('B. Implementation Plan'!P155,1)*H165*(1-'B. Implementation Plan'!P149)*'B. Implementation Plan'!P152*'B. Implementation Plan'!P153*(1-'B. Implementation Plan'!P147)^($C202-1),H165*(1-'B. Implementation Plan'!P149)*'B. Implementation Plan'!P152*'B. Implementation Plan'!P153*(1-'B. Implementation Plan'!P147)^($C202-1)),0),0)</f>
        <v>0</v>
      </c>
      <c r="K202" s="347">
        <f ca="1">IF($C202&lt;=ROUNDUP('B. Implementation Plan'!P155,0),ROUND(IF(AND($C202-'B. Implementation Plan'!P155&lt;1,$C202-'B. Implementation Plan'!P155&gt;0),MOD('B. Implementation Plan'!P155,1)*I165*(1-'B. Implementation Plan'!P149)*'B. Implementation Plan'!P152*'B. Implementation Plan'!P153*(1-'B. Implementation Plan'!P147)^($C202-1),I165*(1-'B. Implementation Plan'!P149)*'B. Implementation Plan'!P152*'B. Implementation Plan'!P153*(1-'B. Implementation Plan'!P147)^($C202-1)),0),0)</f>
        <v>0</v>
      </c>
      <c r="L202" s="347">
        <f ca="1">IF($C202&lt;=ROUNDUP('B. Implementation Plan'!P155,0),ROUND(IF(AND($C202-'B. Implementation Plan'!P155&lt;1,$C202-'B. Implementation Plan'!P155&gt;0),MOD('B. Implementation Plan'!P155,1)*J165*(1-'B. Implementation Plan'!P149)*'B. Implementation Plan'!P152*'B. Implementation Plan'!P153*(1-'B. Implementation Plan'!P147)^($C202-1),J165*(1-'B. Implementation Plan'!P149)*'B. Implementation Plan'!P152*'B. Implementation Plan'!P153*(1-'B. Implementation Plan'!P147)^($C202-1)),0),0)</f>
        <v>0</v>
      </c>
      <c r="M202" s="347">
        <f ca="1">IF($C202&lt;=ROUNDUP('B. Implementation Plan'!P155,0),ROUND(IF(AND($C202-'B. Implementation Plan'!P155&lt;1,$C202-'B. Implementation Plan'!P155&gt;0),MOD('B. Implementation Plan'!P155,1)*K165*(1-'B. Implementation Plan'!P149)*'B. Implementation Plan'!P152*'B. Implementation Plan'!P153*(1-'B. Implementation Plan'!P147)^($C202-1),K165*(1-'B. Implementation Plan'!P149)*'B. Implementation Plan'!P152*'B. Implementation Plan'!P153*(1-'B. Implementation Plan'!P147)^($C202-1)),0),0)</f>
        <v>0</v>
      </c>
      <c r="N202" s="347">
        <f ca="1">IF($C202&lt;=ROUNDUP('B. Implementation Plan'!P155,0),ROUND(IF(AND($C202-'B. Implementation Plan'!P155&lt;1,$C202-'B. Implementation Plan'!P155&gt;0),MOD('B. Implementation Plan'!P155,1)*L165*(1-'B. Implementation Plan'!P149)*'B. Implementation Plan'!P152*'B. Implementation Plan'!P153*(1-'B. Implementation Plan'!P147)^($C202-1),L165*(1-'B. Implementation Plan'!P149)*'B. Implementation Plan'!P152*'B. Implementation Plan'!P153*(1-'B. Implementation Plan'!P147)^($C202-1)),0),0)</f>
        <v>0</v>
      </c>
      <c r="O202" s="347">
        <f ca="1">IF($C202&lt;=ROUNDUP('B. Implementation Plan'!P155,0),ROUND(IF(AND($C202-'B. Implementation Plan'!P155&lt;1,$C202-'B. Implementation Plan'!P155&gt;0),MOD('B. Implementation Plan'!P155,1)*M165*(1-'B. Implementation Plan'!P149)*'B. Implementation Plan'!P152*'B. Implementation Plan'!P153*(1-'B. Implementation Plan'!P147)^($C202-1),M165*(1-'B. Implementation Plan'!P149)*'B. Implementation Plan'!P152*'B. Implementation Plan'!P153*(1-'B. Implementation Plan'!P147)^($C202-1)),0),0)</f>
        <v>0</v>
      </c>
      <c r="P202" s="78" t="str">
        <f t="shared" ca="1" si="267"/>
        <v/>
      </c>
    </row>
    <row r="203" spans="3:16" s="365" customFormat="1" x14ac:dyDescent="0.3">
      <c r="C203" s="370">
        <v>4</v>
      </c>
      <c r="D203" s="365" t="s">
        <v>361</v>
      </c>
      <c r="E203"/>
      <c r="F203"/>
      <c r="G203"/>
      <c r="H203"/>
      <c r="I203" s="347">
        <f>IF($C203&lt;=ROUNDUP('B. Implementation Plan'!P155,0),ROUND(IF(AND($C203-'B. Implementation Plan'!P155&lt;1,$C203-'B. Implementation Plan'!P155&gt;0),MOD('B. Implementation Plan'!P155,1)*(E165+F165)*(1-'B. Implementation Plan'!P149)*'B. Implementation Plan'!P152*'B. Implementation Plan'!P153*(1-'B. Implementation Plan'!P147)^($C203-1),(E165+F165)*(1-'B. Implementation Plan'!P149)*'B. Implementation Plan'!P152*'B. Implementation Plan'!P153*(1-'B. Implementation Plan'!P147)^($C203-1)),0),0)</f>
        <v>0</v>
      </c>
      <c r="J203" s="347">
        <f>IF($C203&lt;=ROUNDUP('B. Implementation Plan'!P155,0),ROUND(IF(AND($C203-'B. Implementation Plan'!P155&lt;1,$C203-'B. Implementation Plan'!P155&gt;0),MOD('B. Implementation Plan'!P155,1)*G165*(1-'B. Implementation Plan'!P149)*'B. Implementation Plan'!P152*'B. Implementation Plan'!P153*(1-'B. Implementation Plan'!P147)^($C203-1),G165*(1-'B. Implementation Plan'!P149)*'B. Implementation Plan'!P152*'B. Implementation Plan'!P153*(1-'B. Implementation Plan'!P147)^($C203-1)),0),0)</f>
        <v>0</v>
      </c>
      <c r="K203" s="347">
        <f>IF($C203&lt;=ROUNDUP('B. Implementation Plan'!P155,0),ROUND(IF(AND($C203-'B. Implementation Plan'!P155&lt;1,$C203-'B. Implementation Plan'!P155&gt;0),MOD('B. Implementation Plan'!P155,1)*H165*(1-'B. Implementation Plan'!P149)*'B. Implementation Plan'!P152*'B. Implementation Plan'!P153*(1-'B. Implementation Plan'!P147)^($C203-1),H165*(1-'B. Implementation Plan'!P149)*'B. Implementation Plan'!P152*'B. Implementation Plan'!P153*(1-'B. Implementation Plan'!P147)^($C203-1)),0),0)</f>
        <v>0</v>
      </c>
      <c r="L203" s="347">
        <f>IF($C203&lt;=ROUNDUP('B. Implementation Plan'!P155,0),ROUND(IF(AND($C203-'B. Implementation Plan'!P155&lt;1,$C203-'B. Implementation Plan'!P155&gt;0),MOD('B. Implementation Plan'!P155,1)*I165*(1-'B. Implementation Plan'!P149)*'B. Implementation Plan'!P152*'B. Implementation Plan'!P153*(1-'B. Implementation Plan'!P147)^($C203-1),I165*(1-'B. Implementation Plan'!P149)*'B. Implementation Plan'!P152*'B. Implementation Plan'!P153*(1-'B. Implementation Plan'!P147)^($C203-1)),0),0)</f>
        <v>0</v>
      </c>
      <c r="M203" s="347">
        <f>IF($C203&lt;=ROUNDUP('B. Implementation Plan'!P155,0),ROUND(IF(AND($C203-'B. Implementation Plan'!P155&lt;1,$C203-'B. Implementation Plan'!P155&gt;0),MOD('B. Implementation Plan'!P155,1)*J165*(1-'B. Implementation Plan'!P149)*'B. Implementation Plan'!P152*'B. Implementation Plan'!P153*(1-'B. Implementation Plan'!P147)^($C203-1),J165*(1-'B. Implementation Plan'!P149)*'B. Implementation Plan'!P152*'B. Implementation Plan'!P153*(1-'B. Implementation Plan'!P147)^($C203-1)),0),0)</f>
        <v>0</v>
      </c>
      <c r="N203" s="347">
        <f>IF($C203&lt;=ROUNDUP('B. Implementation Plan'!P155,0),ROUND(IF(AND($C203-'B. Implementation Plan'!P155&lt;1,$C203-'B. Implementation Plan'!P155&gt;0),MOD('B. Implementation Plan'!P155,1)*K165*(1-'B. Implementation Plan'!P149)*'B. Implementation Plan'!P152*'B. Implementation Plan'!P153*(1-'B. Implementation Plan'!P147)^($C203-1),K165*(1-'B. Implementation Plan'!P149)*'B. Implementation Plan'!P152*'B. Implementation Plan'!P153*(1-'B. Implementation Plan'!P147)^($C203-1)),0),0)</f>
        <v>0</v>
      </c>
      <c r="O203" s="347">
        <f>IF($C203&lt;=ROUNDUP('B. Implementation Plan'!P155,0),ROUND(IF(AND($C203-'B. Implementation Plan'!P155&lt;1,$C203-'B. Implementation Plan'!P155&gt;0),MOD('B. Implementation Plan'!P155,1)*L165*(1-'B. Implementation Plan'!P149)*'B. Implementation Plan'!P152*'B. Implementation Plan'!P153*(1-'B. Implementation Plan'!P147)^($C203-1),L165*(1-'B. Implementation Plan'!P149)*'B. Implementation Plan'!P152*'B. Implementation Plan'!P153*(1-'B. Implementation Plan'!P147)^($C203-1)),0),0)</f>
        <v>0</v>
      </c>
      <c r="P203" s="78" t="str">
        <f t="shared" si="267"/>
        <v/>
      </c>
    </row>
    <row r="204" spans="3:16" s="365" customFormat="1" x14ac:dyDescent="0.3">
      <c r="C204" s="370">
        <v>5</v>
      </c>
      <c r="E204"/>
      <c r="F204"/>
      <c r="G204"/>
      <c r="H204"/>
      <c r="I204"/>
      <c r="J204" s="347">
        <f>IF($C204&lt;=ROUNDUP('B. Implementation Plan'!P155,0),ROUND(IF(AND($C204-'B. Implementation Plan'!P155&lt;1,$C204-'B. Implementation Plan'!P155&gt;0),MOD('B. Implementation Plan'!P155,1)*(E165+F165)*(1-'B. Implementation Plan'!P149)*'B. Implementation Plan'!P152*'B. Implementation Plan'!P153*(1-'B. Implementation Plan'!P147)^($C204-1),(E165+F165)*(1-'B. Implementation Plan'!P149)*'B. Implementation Plan'!P152*'B. Implementation Plan'!P153*(1-'B. Implementation Plan'!P147)^($C204-1)),0),0)</f>
        <v>0</v>
      </c>
      <c r="K204" s="347">
        <f>IF($C204&lt;=ROUNDUP('B. Implementation Plan'!P155,0),ROUND(IF(AND($C204-'B. Implementation Plan'!P155&lt;1,$C204-'B. Implementation Plan'!P155&gt;0),MOD('B. Implementation Plan'!P155,1)*G165*(1-'B. Implementation Plan'!P149)*'B. Implementation Plan'!P152*'B. Implementation Plan'!P153*(1-'B. Implementation Plan'!P147)^($C204-1),G165*(1-'B. Implementation Plan'!P149)*'B. Implementation Plan'!P152*'B. Implementation Plan'!P153*(1-'B. Implementation Plan'!P147)^($C204-1)),0),0)</f>
        <v>0</v>
      </c>
      <c r="L204" s="347">
        <f>IF($C204&lt;=ROUNDUP('B. Implementation Plan'!P155,0),ROUND(IF(AND($C204-'B. Implementation Plan'!P155&lt;1,$C204-'B. Implementation Plan'!P155&gt;0),MOD('B. Implementation Plan'!P155,1)*H165*(1-'B. Implementation Plan'!P149)*'B. Implementation Plan'!P152*'B. Implementation Plan'!P153*(1-'B. Implementation Plan'!P147)^($C204-1),H165*(1-'B. Implementation Plan'!P149)*'B. Implementation Plan'!P152*'B. Implementation Plan'!P153*(1-'B. Implementation Plan'!P147)^($C204-1)),0),0)</f>
        <v>0</v>
      </c>
      <c r="M204" s="347">
        <f>IF($C204&lt;=ROUNDUP('B. Implementation Plan'!P155,0),ROUND(IF(AND($C204-'B. Implementation Plan'!P155&lt;1,$C204-'B. Implementation Plan'!P155&gt;0),MOD('B. Implementation Plan'!P155,1)*I165*(1-'B. Implementation Plan'!P149)*'B. Implementation Plan'!P152*'B. Implementation Plan'!P153*(1-'B. Implementation Plan'!P147)^($C204-1),I165*(1-'B. Implementation Plan'!P149)*'B. Implementation Plan'!P152*'B. Implementation Plan'!P153*(1-'B. Implementation Plan'!P147)^($C204-1)),0),0)</f>
        <v>0</v>
      </c>
      <c r="N204" s="347">
        <f>IF($C204&lt;=ROUNDUP('B. Implementation Plan'!P155,0),ROUND(IF(AND($C204-'B. Implementation Plan'!P155&lt;1,$C204-'B. Implementation Plan'!P155&gt;0),MOD('B. Implementation Plan'!P155,1)*J165*(1-'B. Implementation Plan'!P149)*'B. Implementation Plan'!P152*'B. Implementation Plan'!P153*(1-'B. Implementation Plan'!P147)^($C204-1),J165*(1-'B. Implementation Plan'!P149)*'B. Implementation Plan'!P152*'B. Implementation Plan'!P153*(1-'B. Implementation Plan'!P147)^($C204-1)),0),0)</f>
        <v>0</v>
      </c>
      <c r="O204" s="347">
        <f>IF($C204&lt;=ROUNDUP('B. Implementation Plan'!P155,0),ROUND(IF(AND($C204-'B. Implementation Plan'!P155&lt;1,$C204-'B. Implementation Plan'!P155&gt;0),MOD('B. Implementation Plan'!P155,1)*K165*(1-'B. Implementation Plan'!P149)*'B. Implementation Plan'!P152*'B. Implementation Plan'!P153*(1-'B. Implementation Plan'!P147)^($C204-1),K165*(1-'B. Implementation Plan'!P149)*'B. Implementation Plan'!P152*'B. Implementation Plan'!P153*(1-'B. Implementation Plan'!P147)^($C204-1)),0),0)</f>
        <v>0</v>
      </c>
      <c r="P204" s="78" t="str">
        <f t="shared" si="267"/>
        <v/>
      </c>
    </row>
    <row r="205" spans="3:16" s="365" customFormat="1" x14ac:dyDescent="0.3">
      <c r="C205" s="370">
        <v>6</v>
      </c>
      <c r="E205"/>
      <c r="F205"/>
      <c r="G205"/>
      <c r="H205"/>
      <c r="I205"/>
      <c r="J205"/>
      <c r="K205" s="347">
        <f>IF($C205&lt;=ROUNDUP('B. Implementation Plan'!P155,0),ROUND(IF(AND($C205-'B. Implementation Plan'!P155&lt;1,$C205-'B. Implementation Plan'!P155&gt;0),MOD('B. Implementation Plan'!P155,1)*(E165+F165)*(1-'B. Implementation Plan'!P149)*'B. Implementation Plan'!P152*'B. Implementation Plan'!P153*(1-'B. Implementation Plan'!P147)^($C205-1),(E165+F165)*(1-'B. Implementation Plan'!P149)*'B. Implementation Plan'!P152*'B. Implementation Plan'!P153*(1-'B. Implementation Plan'!P147)^($C205-1)),0),0)</f>
        <v>0</v>
      </c>
      <c r="L205" s="347">
        <f>IF($C205&lt;=ROUNDUP('B. Implementation Plan'!P155,0),ROUND(IF(AND($C205-'B. Implementation Plan'!P155&lt;1,$C205-'B. Implementation Plan'!P155&gt;0),MOD('B. Implementation Plan'!P155,1)*G165*(1-'B. Implementation Plan'!P149)*'B. Implementation Plan'!P152*'B. Implementation Plan'!P153*(1-'B. Implementation Plan'!P147)^($C205-1),G165*(1-'B. Implementation Plan'!P149)*'B. Implementation Plan'!P152*'B. Implementation Plan'!P153*(1-'B. Implementation Plan'!P147)^($C205-1)),0),0)</f>
        <v>0</v>
      </c>
      <c r="M205" s="347">
        <f>IF($C205&lt;=ROUNDUP('B. Implementation Plan'!P155,0),ROUND(IF(AND($C205-'B. Implementation Plan'!P155&lt;1,$C205-'B. Implementation Plan'!P155&gt;0),MOD('B. Implementation Plan'!P155,1)*H165*(1-'B. Implementation Plan'!P149)*'B. Implementation Plan'!P152*'B. Implementation Plan'!P153*(1-'B. Implementation Plan'!P147)^($C205-1),H165*(1-'B. Implementation Plan'!P149)*'B. Implementation Plan'!P152*'B. Implementation Plan'!P153*(1-'B. Implementation Plan'!P147)^($C205-1)),0),0)</f>
        <v>0</v>
      </c>
      <c r="N205" s="347">
        <f>IF($C205&lt;=ROUNDUP('B. Implementation Plan'!P155,0),ROUND(IF(AND($C205-'B. Implementation Plan'!P155&lt;1,$C205-'B. Implementation Plan'!P155&gt;0),MOD('B. Implementation Plan'!P155,1)*I165*(1-'B. Implementation Plan'!P149)*'B. Implementation Plan'!P152*'B. Implementation Plan'!P153*(1-'B. Implementation Plan'!P147)^($C205-1),I165*(1-'B. Implementation Plan'!P149)*'B. Implementation Plan'!P152*'B. Implementation Plan'!P153*(1-'B. Implementation Plan'!P147)^($C205-1)),0),0)</f>
        <v>0</v>
      </c>
      <c r="O205" s="347">
        <f>IF($C205&lt;=ROUNDUP('B. Implementation Plan'!P155,0),ROUND(IF(AND($C205-'B. Implementation Plan'!P155&lt;1,$C205-'B. Implementation Plan'!P155&gt;0),MOD('B. Implementation Plan'!P155,1)*J165*(1-'B. Implementation Plan'!P149)*'B. Implementation Plan'!P152*'B. Implementation Plan'!P153*(1-'B. Implementation Plan'!P147)^($C205-1),J165*(1-'B. Implementation Plan'!P149)*'B. Implementation Plan'!P152*'B. Implementation Plan'!P153*(1-'B. Implementation Plan'!P147)^($C205-1)),0),0)</f>
        <v>0</v>
      </c>
      <c r="P205" s="78" t="str">
        <f t="shared" si="267"/>
        <v/>
      </c>
    </row>
    <row r="206" spans="3:16" s="365" customFormat="1" x14ac:dyDescent="0.3">
      <c r="C206" s="370">
        <v>7</v>
      </c>
      <c r="E206"/>
      <c r="F206"/>
      <c r="G206"/>
      <c r="H206"/>
      <c r="I206"/>
      <c r="J206"/>
      <c r="K206"/>
      <c r="L206" s="347">
        <f>IF($C206&lt;=ROUNDUP('B. Implementation Plan'!P155,0),ROUND(IF(AND($C206-'B. Implementation Plan'!P155&lt;1,$C206-'B. Implementation Plan'!P155&gt;0),MOD('B. Implementation Plan'!P155,1)*(E165+F165)*(1-'B. Implementation Plan'!P149)*'B. Implementation Plan'!P152*'B. Implementation Plan'!P153*(1-'B. Implementation Plan'!P147)^($C206-1),(E165+F165)*(1-'B. Implementation Plan'!P149)*'B. Implementation Plan'!P152*'B. Implementation Plan'!P153*(1-'B. Implementation Plan'!P147)^($C206-1)),0),0)</f>
        <v>0</v>
      </c>
      <c r="M206" s="347">
        <f>IF($C206&lt;=ROUNDUP('B. Implementation Plan'!P155,0),ROUND(IF(AND($C206-'B. Implementation Plan'!P155&lt;1,$C206-'B. Implementation Plan'!P155&gt;0),MOD('B. Implementation Plan'!P155,1)*G165*(1-'B. Implementation Plan'!P149)*'B. Implementation Plan'!P152*'B. Implementation Plan'!P153*(1-'B. Implementation Plan'!P147)^($C206-1),G165*(1-'B. Implementation Plan'!P149)*'B. Implementation Plan'!P152*'B. Implementation Plan'!P153*(1-'B. Implementation Plan'!P147)^($C206-1)),0),0)</f>
        <v>0</v>
      </c>
      <c r="N206" s="347">
        <f>IF($C206&lt;=ROUNDUP('B. Implementation Plan'!P155,0),ROUND(IF(AND($C206-'B. Implementation Plan'!P155&lt;1,$C206-'B. Implementation Plan'!P155&gt;0),MOD('B. Implementation Plan'!P155,1)*H165*(1-'B. Implementation Plan'!P149)*'B. Implementation Plan'!P152*'B. Implementation Plan'!P153*(1-'B. Implementation Plan'!P147)^($C206-1),H165*(1-'B. Implementation Plan'!P149)*'B. Implementation Plan'!P152*'B. Implementation Plan'!P153*(1-'B. Implementation Plan'!P147)^($C206-1)),0),0)</f>
        <v>0</v>
      </c>
      <c r="O206" s="347">
        <f>IF($C206&lt;=ROUNDUP('B. Implementation Plan'!P155,0),ROUND(IF(AND($C206-'B. Implementation Plan'!P155&lt;1,$C206-'B. Implementation Plan'!P155&gt;0),MOD('B. Implementation Plan'!P155,1)*I165*(1-'B. Implementation Plan'!P149)*'B. Implementation Plan'!P152*'B. Implementation Plan'!P153*(1-'B. Implementation Plan'!P147)^($C206-1),I165*(1-'B. Implementation Plan'!P149)*'B. Implementation Plan'!P152*'B. Implementation Plan'!P153*(1-'B. Implementation Plan'!P147)^($C206-1)),0),0)</f>
        <v>0</v>
      </c>
      <c r="P206" s="78" t="str">
        <f t="shared" si="267"/>
        <v/>
      </c>
    </row>
    <row r="207" spans="3:16" s="365" customFormat="1" x14ac:dyDescent="0.3">
      <c r="C207" s="370">
        <v>8</v>
      </c>
      <c r="E207"/>
      <c r="F207"/>
      <c r="G207"/>
      <c r="H207"/>
      <c r="I207"/>
      <c r="J207"/>
      <c r="K207"/>
      <c r="L207"/>
      <c r="M207" s="347">
        <f>IF($C207&lt;=ROUNDUP('B. Implementation Plan'!P155,0),ROUND(IF(AND($C207-'B. Implementation Plan'!P155&lt;1,$C207-'B. Implementation Plan'!P155&gt;0),MOD('B. Implementation Plan'!P155,1)*(E165+F165)*(1-'B. Implementation Plan'!P149)*'B. Implementation Plan'!P152*'B. Implementation Plan'!P153*(1-'B. Implementation Plan'!P147)^($C207-1),(E165+F165)*(1-'B. Implementation Plan'!P149)*'B. Implementation Plan'!P152*'B. Implementation Plan'!P153*(1-'B. Implementation Plan'!P147)^($C207-1)),0),0)</f>
        <v>0</v>
      </c>
      <c r="N207" s="347">
        <f>IF($C207&lt;=ROUNDUP('B. Implementation Plan'!P155,0),ROUND(IF(AND($C207-'B. Implementation Plan'!P155&lt;1,$C207-'B. Implementation Plan'!P155&gt;0),MOD('B. Implementation Plan'!P155,1)*G165*(1-'B. Implementation Plan'!P149)*'B. Implementation Plan'!P152*'B. Implementation Plan'!P153*(1-'B. Implementation Plan'!P147)^($C207-1),G165*(1-'B. Implementation Plan'!P149)*'B. Implementation Plan'!P152*'B. Implementation Plan'!P153*(1-'B. Implementation Plan'!P147)^($C207-1)),0),0)</f>
        <v>0</v>
      </c>
      <c r="O207" s="347">
        <f>IF($C207&lt;=ROUNDUP('B. Implementation Plan'!P155,0),ROUND(IF(AND($C207-'B. Implementation Plan'!P155&lt;1,$C207-'B. Implementation Plan'!P155&gt;0),MOD('B. Implementation Plan'!P155,1)*H165*(1-'B. Implementation Plan'!P149)*'B. Implementation Plan'!P152*'B. Implementation Plan'!P153*(1-'B. Implementation Plan'!P147)^($C207-1),H165*(1-'B. Implementation Plan'!P149)*'B. Implementation Plan'!P152*'B. Implementation Plan'!P153*(1-'B. Implementation Plan'!P147)^($C207-1)),0),0)</f>
        <v>0</v>
      </c>
      <c r="P207" s="78" t="str">
        <f t="shared" si="267"/>
        <v/>
      </c>
    </row>
    <row r="208" spans="3:16" s="365" customFormat="1" x14ac:dyDescent="0.3">
      <c r="C208" s="370">
        <v>9</v>
      </c>
      <c r="E208"/>
      <c r="F208"/>
      <c r="G208"/>
      <c r="H208"/>
      <c r="I208"/>
      <c r="J208"/>
      <c r="K208"/>
      <c r="L208"/>
      <c r="M208"/>
      <c r="N208" s="347">
        <f>IF($C208&lt;=ROUNDUP('B. Implementation Plan'!P155,0),ROUND(IF(AND($C208-'B. Implementation Plan'!P155&lt;1,$C208-'B. Implementation Plan'!P155&gt;0),MOD('B. Implementation Plan'!P155,1)*(E165+F165)*(1-'B. Implementation Plan'!P149)*'B. Implementation Plan'!P152*'B. Implementation Plan'!P153*(1-'B. Implementation Plan'!P147)^($C208-1),(E165+F165)*(1-'B. Implementation Plan'!P149)*'B. Implementation Plan'!P152*'B. Implementation Plan'!P153*(1-'B. Implementation Plan'!P147)^($C208-1)),0),0)</f>
        <v>0</v>
      </c>
      <c r="O208" s="347">
        <f>IF($C208&lt;=ROUNDUP('B. Implementation Plan'!P155,0),ROUND(IF(AND($C208-'B. Implementation Plan'!P155&lt;1,$C208-'B. Implementation Plan'!P155&gt;0),MOD('B. Implementation Plan'!P155,1)*G165*(1-'B. Implementation Plan'!P149)*'B. Implementation Plan'!P152*'B. Implementation Plan'!P153*(1-'B. Implementation Plan'!P147)^($C208-1),G165*(1-'B. Implementation Plan'!P149)*'B. Implementation Plan'!P152*'B. Implementation Plan'!P153*(1-'B. Implementation Plan'!P147)^($C208-1)),0),0)</f>
        <v>0</v>
      </c>
      <c r="P208" s="78" t="str">
        <f t="shared" si="267"/>
        <v/>
      </c>
    </row>
    <row r="209" spans="3:16" s="365" customFormat="1" x14ac:dyDescent="0.3">
      <c r="C209" s="370">
        <v>10</v>
      </c>
      <c r="E209"/>
      <c r="F209"/>
      <c r="G209"/>
      <c r="H209"/>
      <c r="I209"/>
      <c r="J209"/>
      <c r="K209"/>
      <c r="L209"/>
      <c r="M209"/>
      <c r="N209" s="19"/>
      <c r="O209" s="347">
        <f>IF($C209&lt;=ROUNDUP('B. Implementation Plan'!P155,0),ROUND(IF(AND($C209-'B. Implementation Plan'!P155&lt;1,$C209-'B. Implementation Plan'!P155&gt;0),MOD('B. Implementation Plan'!P155,1)*(E165+F165)*(1-'B. Implementation Plan'!P149)*'B. Implementation Plan'!P152*'B. Implementation Plan'!P153*(1-'B. Implementation Plan'!P147)^($C209-1),(E165+F165)*(1-'B. Implementation Plan'!P149)*'B. Implementation Plan'!P152*'B. Implementation Plan'!P153*(1-'B. Implementation Plan'!P147)^($C209-1)),0),0)</f>
        <v>0</v>
      </c>
      <c r="P209" s="78" t="str">
        <f t="shared" si="267"/>
        <v/>
      </c>
    </row>
    <row r="210" spans="3:16" s="1" customFormat="1" x14ac:dyDescent="0.3">
      <c r="C210" s="376" t="s">
        <v>482</v>
      </c>
      <c r="E210"/>
      <c r="F210" s="371">
        <f t="shared" ref="F210:O210" ca="1" si="268">IF(F160&gt;0,SUM(F200:F209),0)</f>
        <v>0</v>
      </c>
      <c r="G210" s="371">
        <f t="shared" ca="1" si="268"/>
        <v>0</v>
      </c>
      <c r="H210" s="371">
        <f t="shared" ca="1" si="268"/>
        <v>0</v>
      </c>
      <c r="I210" s="371">
        <f t="shared" ca="1" si="268"/>
        <v>0</v>
      </c>
      <c r="J210" s="371">
        <f t="shared" ca="1" si="268"/>
        <v>0</v>
      </c>
      <c r="K210" s="371">
        <f t="shared" ca="1" si="268"/>
        <v>0</v>
      </c>
      <c r="L210" s="371">
        <f t="shared" ca="1" si="268"/>
        <v>0</v>
      </c>
      <c r="M210" s="371">
        <f t="shared" ca="1" si="268"/>
        <v>0</v>
      </c>
      <c r="N210" s="371">
        <f t="shared" ca="1" si="268"/>
        <v>0</v>
      </c>
      <c r="O210" s="371">
        <f t="shared" ca="1" si="268"/>
        <v>0</v>
      </c>
      <c r="P210" s="325">
        <f ca="1">SUM(E210:O210)</f>
        <v>0</v>
      </c>
    </row>
    <row r="211" spans="3:16" s="1" customFormat="1" x14ac:dyDescent="0.3">
      <c r="C211" s="353" t="s">
        <v>469</v>
      </c>
      <c r="E211"/>
      <c r="F211" s="324">
        <f ca="1">MIN(IFERROR(ROUNDUP(IF(F160&gt;0,INDEX(F200:F209,MATCH(9.99999999999999E+307,P200:P209))/IF(MOD('B. Implementation Plan'!P155,1)=0,1,MOD('B. Implementation Plan'!P155,1)),0),0),0),MAX(E200:E209))</f>
        <v>0</v>
      </c>
      <c r="G211" s="324">
        <f ca="1">MIN(IFERROR(ROUNDUP(IF(G160&gt;0,INDEX(G200:G209,MATCH(9.99999999999999E+307,P200:P209))/IF(MOD('B. Implementation Plan'!P155,1)=0,1,MOD('B. Implementation Plan'!P155,1)),0),0),0),MAX(E200:F209))</f>
        <v>0</v>
      </c>
      <c r="H211" s="324">
        <f ca="1">MIN(IFERROR(ROUNDUP(IF(H160&gt;0,INDEX(H200:H209,MATCH(9.99999999999999E+307,P200:P209))/IF(MOD('B. Implementation Plan'!P155,1)=0,1,MOD('B. Implementation Plan'!P155,1)),0),0),0),MAX(E200:G209))</f>
        <v>0</v>
      </c>
      <c r="I211" s="324">
        <f ca="1">MIN(IFERROR(ROUNDUP(IF(I160&gt;0,INDEX(I200:I209,MATCH(9.99999999999999E+307,P200:P209))/IF(MOD('B. Implementation Plan'!P155,1)=0,1,MOD('B. Implementation Plan'!P155,1)),0),0),0),MAX(E200:H209))</f>
        <v>0</v>
      </c>
      <c r="J211" s="324">
        <f ca="1">MIN(IFERROR(ROUNDUP(IF(J160&gt;0,INDEX(J200:J209,MATCH(9.99999999999999E+307,P200:P209))/IF(MOD('B. Implementation Plan'!P155,1)=0,1,MOD('B. Implementation Plan'!P155,1)),0),0),0),MAX(E200:I209))</f>
        <v>0</v>
      </c>
      <c r="K211" s="324">
        <f ca="1">MIN(IFERROR(ROUNDUP(IF(K160&gt;0,INDEX(K200:K209,MATCH(9.99999999999999E+307,P200:P209))/IF(MOD('B. Implementation Plan'!P155,1)=0,1,MOD('B. Implementation Plan'!P155,1)),0),0),0),MAX(E200:J209))</f>
        <v>0</v>
      </c>
      <c r="L211" s="324">
        <f ca="1">MIN(IFERROR(ROUNDUP(IF(L160&gt;0,INDEX(L200:L209,MATCH(9.99999999999999E+307,P200:P209))/IF(MOD('B. Implementation Plan'!P155,1)=0,1,MOD('B. Implementation Plan'!P155,1)),0),0),0),MAX(E200:K209))</f>
        <v>0</v>
      </c>
      <c r="M211" s="324">
        <f ca="1">MIN(IFERROR(ROUNDUP(IF(M160&gt;0,INDEX(M200:M209,MATCH(9.99999999999999E+307,P200:P209))/IF(MOD('B. Implementation Plan'!P155,1)=0,1,MOD('B. Implementation Plan'!P155,1)),0),0),0),MAX(E200:L209))</f>
        <v>0</v>
      </c>
      <c r="N211" s="324">
        <f ca="1">MIN(IFERROR(ROUNDUP(IF(N160&gt;0,INDEX(N200:N209,MATCH(9.99999999999999E+307,P200:P209))/IF(MOD('B. Implementation Plan'!P155,1)=0,1,MOD('B. Implementation Plan'!P155,1)),0),0),0),MAX(E200:M209))</f>
        <v>0</v>
      </c>
      <c r="O211" s="324">
        <f ca="1">MIN(IFERROR(ROUNDUP(IF(O160&gt;0,INDEX(O200:O209,MATCH(9.99999999999999E+307,P200:P209))/IF(MOD('B. Implementation Plan'!P155,1)=0,1,MOD('B. Implementation Plan'!P155,1)),0),0),0),MAX(E200:N209))</f>
        <v>0</v>
      </c>
      <c r="P211" s="325">
        <f ca="1">SUM(E211:O211)</f>
        <v>0</v>
      </c>
    </row>
    <row r="212" spans="3:16" s="365" customFormat="1" x14ac:dyDescent="0.3">
      <c r="C212" s="326" t="s">
        <v>470</v>
      </c>
      <c r="E212"/>
      <c r="F212" s="347">
        <f ca="1">ROUNDUP(IF(F160&gt;0,IF(SUM(E211:F211,E212:E212)*'B. Implementation Plan'!P147&gt;P211,0,-ROUND(SUM(E211:F211,E212:E212)*'B. Implementation Plan'!P147,0)),0),0)</f>
        <v>0</v>
      </c>
      <c r="G212" s="347">
        <f ca="1">ROUNDUP(IF(G160&gt;0,IF(SUM(E211:G211,E212:F212)*'B. Implementation Plan'!P147&gt;P211,0,-ROUND(SUM(E211:G211,E212:F212)*'B. Implementation Plan'!P147,0)),0),0)</f>
        <v>0</v>
      </c>
      <c r="H212" s="347">
        <f ca="1">ROUNDUP(IF(H160&gt;0,IF(SUM(E211:H211,E212:G212)*'B. Implementation Plan'!P147&gt;P211,0,-ROUND(SUM(E211:H211,E212:G212)*'B. Implementation Plan'!P147,0)),0),0)</f>
        <v>0</v>
      </c>
      <c r="I212" s="347">
        <f ca="1">ROUNDUP(IF(I160&gt;0,IF(SUM(E211:I211,E212:H212)*'B. Implementation Plan'!P147&gt;P211,0,-ROUND(SUM(E211:I211,E212:H212)*'B. Implementation Plan'!P147,0)),0),0)</f>
        <v>0</v>
      </c>
      <c r="J212" s="347">
        <f ca="1">ROUNDUP(IF(J160&gt;0,IF(SUM(E211:J211,E212:I212)*'B. Implementation Plan'!P147&gt;P211,0,-ROUND(SUM(E211:J211,E212:I212)*'B. Implementation Plan'!P147,0)),0),0)</f>
        <v>0</v>
      </c>
      <c r="K212" s="347">
        <f ca="1">ROUNDUP(IF(K160&gt;0,IF(SUM(E211:K211,E212:J212)*'B. Implementation Plan'!P147&gt;P211,0,-ROUND(SUM(E211:K211,E212:J212)*'B. Implementation Plan'!P147,0)),0),0)</f>
        <v>0</v>
      </c>
      <c r="L212" s="347">
        <f ca="1">ROUNDUP(IF(L160&gt;0,IF(SUM(E211:L211,E212:K212)*'B. Implementation Plan'!P147&gt;P211,0,-ROUND(SUM(E211:L211,E212:K212)*'B. Implementation Plan'!P147,0)),0),0)</f>
        <v>0</v>
      </c>
      <c r="M212" s="347">
        <f ca="1">ROUNDUP(IF(M160&gt;0,IF(SUM(E211:M211,E212:L212)*'B. Implementation Plan'!P147&gt;P211,0,-ROUND(SUM(E211:M211,E212:L212)*'B. Implementation Plan'!P147,0)),0),0)</f>
        <v>0</v>
      </c>
      <c r="N212" s="347">
        <f ca="1">ROUNDUP(IF(N160&gt;0,IF(SUM(E211:N211,E212:M212)*'B. Implementation Plan'!P147&gt;P211,0,-ROUND(SUM(E211:N211,E212:M212)*'B. Implementation Plan'!P147,0)),0),0)</f>
        <v>0</v>
      </c>
      <c r="O212" s="347">
        <f ca="1">ROUNDUP(IF(O160&gt;0,IF(SUM(E211:O211,E212:N212)*'B. Implementation Plan'!P147&gt;P211,0,-ROUND(SUM(E211:O211,E212:N212)*'B. Implementation Plan'!P147,0)),0),0)</f>
        <v>0</v>
      </c>
      <c r="P212" s="354">
        <f ca="1">SUM(E212:O212)</f>
        <v>0</v>
      </c>
    </row>
    <row r="213" spans="3:16" s="365" customFormat="1" ht="15" thickBot="1" x14ac:dyDescent="0.35">
      <c r="C213" s="326" t="s">
        <v>471</v>
      </c>
      <c r="E213"/>
      <c r="F213" s="347">
        <f ca="1">IF(F160&gt;0,SUM(E211:F212),0)</f>
        <v>0</v>
      </c>
      <c r="G213" s="347">
        <f ca="1">IF(G160&gt;0,SUM(E211:G212),0)</f>
        <v>0</v>
      </c>
      <c r="H213" s="347">
        <f ca="1">IF(H160&gt;0,SUM(E211:H212),0)</f>
        <v>0</v>
      </c>
      <c r="I213" s="347">
        <f ca="1">IF(I160&gt;0,SUM(E211:I212),0)</f>
        <v>0</v>
      </c>
      <c r="J213" s="347">
        <f ca="1">IF(J160&gt;0,SUM(E211:J212),0)</f>
        <v>0</v>
      </c>
      <c r="K213" s="347">
        <f ca="1">IF(K160&gt;0,SUM(E211:K212),0)</f>
        <v>0</v>
      </c>
      <c r="L213" s="347">
        <f ca="1">IF(L160&gt;0,SUM(E211:L212),0)</f>
        <v>0</v>
      </c>
      <c r="M213" s="347">
        <f ca="1">IF(M160&gt;0,SUM(E211:M212),0)</f>
        <v>0</v>
      </c>
      <c r="N213" s="347">
        <f ca="1">IF(N160&gt;0,SUM(E211:N212),0)</f>
        <v>0</v>
      </c>
      <c r="O213" s="369">
        <f ca="1">IF(O160&gt;0,SUM(E211:O212),0)</f>
        <v>0</v>
      </c>
      <c r="P213" s="375">
        <f t="shared" ref="P213" ca="1" si="269">IF(O213=0,IF(N213=0,IF(M213=0,IF(L213=0,IF(K213=0,IF(J213=0,IF(I213=0,IF(H213=0,IF(G213=0,IF(F213=0,E213,F213),G213),H213),I213),J213),K213),L213),M213),N213),O213)</f>
        <v>0</v>
      </c>
    </row>
    <row r="214" spans="3:16" ht="15" thickBot="1" x14ac:dyDescent="0.35">
      <c r="C214" s="59" t="s">
        <v>467</v>
      </c>
    </row>
    <row r="215" spans="3:16" ht="15.6" x14ac:dyDescent="0.3">
      <c r="C215" s="326" t="s">
        <v>468</v>
      </c>
      <c r="F215" s="149">
        <v>1</v>
      </c>
      <c r="G215" s="149">
        <v>2</v>
      </c>
      <c r="H215" s="149">
        <v>3</v>
      </c>
      <c r="I215" s="149">
        <v>4</v>
      </c>
      <c r="J215" s="149">
        <v>5</v>
      </c>
      <c r="K215" s="149">
        <v>6</v>
      </c>
      <c r="L215" s="149">
        <v>7</v>
      </c>
      <c r="M215" s="149">
        <v>8</v>
      </c>
      <c r="N215" s="149">
        <v>9</v>
      </c>
      <c r="O215" s="374">
        <v>10</v>
      </c>
      <c r="P215" s="351" t="s">
        <v>2</v>
      </c>
    </row>
    <row r="216" spans="3:16" s="365" customFormat="1" x14ac:dyDescent="0.3">
      <c r="C216" s="370">
        <v>1</v>
      </c>
      <c r="E216"/>
      <c r="F216" s="347">
        <f ca="1">IF($C216&lt;=ROUNDUP('B. Implementation Plan'!P156,0),ROUND(IF(AND($C216-'B. Implementation Plan'!P156&lt;1,$C216-'B. Implementation Plan'!P156&gt;0),MOD('B. Implementation Plan'!P156,1)*(E165+F165)*(1-'B. Implementation Plan'!P149)*'B. Implementation Plan'!P152*'B. Implementation Plan'!P154*(1-'B. Implementation Plan'!P147)^($C216-1),(E165+F165)*(1-'B. Implementation Plan'!P149)*'B. Implementation Plan'!P152*'B. Implementation Plan'!P154*(1-'B. Implementation Plan'!P147)^($C216-1)),0),0)</f>
        <v>0</v>
      </c>
      <c r="G216" s="347">
        <f ca="1">IF($C216&lt;=ROUNDUP('B. Implementation Plan'!P156,0),ROUND(IF(AND($C216-'B. Implementation Plan'!P156&lt;1,$C216-'B. Implementation Plan'!P156&gt;0),MOD('B. Implementation Plan'!P156,1)*G165*(1-'B. Implementation Plan'!P149)*'B. Implementation Plan'!P152*'B. Implementation Plan'!P154*(1-'B. Implementation Plan'!P147)^($C216-1),G165*(1-'B. Implementation Plan'!P149)*'B. Implementation Plan'!P152*'B. Implementation Plan'!P154*(1-'B. Implementation Plan'!P147)^($C216-1)),0),0)</f>
        <v>0</v>
      </c>
      <c r="H216" s="347">
        <f ca="1">IF($C216&lt;=ROUNDUP('B. Implementation Plan'!P156,0),ROUND(IF(AND($C216-'B. Implementation Plan'!P156&lt;1,$C216-'B. Implementation Plan'!P156&gt;0),MOD('B. Implementation Plan'!P156,1)*H165*(1-'B. Implementation Plan'!P149)*'B. Implementation Plan'!P152*'B. Implementation Plan'!P154*(1-'B. Implementation Plan'!P147)^($C216-1),H165*(1-'B. Implementation Plan'!P149)*'B. Implementation Plan'!P152*'B. Implementation Plan'!P154*(1-'B. Implementation Plan'!P147)^($C216-1)),0),0)</f>
        <v>0</v>
      </c>
      <c r="I216" s="347">
        <f ca="1">IF($C216&lt;=ROUNDUP('B. Implementation Plan'!P156,0),ROUND(IF(AND($C216-'B. Implementation Plan'!P156&lt;1,$C216-'B. Implementation Plan'!P156&gt;0),MOD('B. Implementation Plan'!P156,1)*I165*(1-'B. Implementation Plan'!P149)*'B. Implementation Plan'!P152*'B. Implementation Plan'!P154*(1-'B. Implementation Plan'!P147)^($C216-1),I165*(1-'B. Implementation Plan'!P149)*'B. Implementation Plan'!P152*'B. Implementation Plan'!P154*(1-'B. Implementation Plan'!P147)^($C216-1)),0),0)</f>
        <v>0</v>
      </c>
      <c r="J216" s="347">
        <f ca="1">IF($C216&lt;=ROUNDUP('B. Implementation Plan'!P156,0),ROUND(IF(AND($C216-'B. Implementation Plan'!P156&lt;1,$C216-'B. Implementation Plan'!P156&gt;0),MOD('B. Implementation Plan'!P156,1)*J165*(1-'B. Implementation Plan'!P149)*'B. Implementation Plan'!P152*'B. Implementation Plan'!P154*(1-'B. Implementation Plan'!P147)^($C216-1),J165*(1-'B. Implementation Plan'!P149)*'B. Implementation Plan'!P152*'B. Implementation Plan'!P154*(1-'B. Implementation Plan'!P147)^($C216-1)),0),0)</f>
        <v>0</v>
      </c>
      <c r="K216" s="347">
        <f ca="1">IF($C216&lt;=ROUNDUP('B. Implementation Plan'!P156,0),ROUND(IF(AND($C216-'B. Implementation Plan'!P156&lt;1,$C216-'B. Implementation Plan'!P156&gt;0),MOD('B. Implementation Plan'!P156,1)*K165*(1-'B. Implementation Plan'!P149)*'B. Implementation Plan'!P152*'B. Implementation Plan'!P154*(1-'B. Implementation Plan'!P147)^($C216-1),K165*(1-'B. Implementation Plan'!P149)*'B. Implementation Plan'!P152*'B. Implementation Plan'!P154*(1-'B. Implementation Plan'!P147)^($C216-1)),0),0)</f>
        <v>0</v>
      </c>
      <c r="L216" s="347">
        <f ca="1">IF($C216&lt;=ROUNDUP('B. Implementation Plan'!P156,0),ROUND(IF(AND($C216-'B. Implementation Plan'!P156&lt;1,$C216-'B. Implementation Plan'!P156&gt;0),MOD('B. Implementation Plan'!P156,1)*L165*(1-'B. Implementation Plan'!P149)*'B. Implementation Plan'!P152*'B. Implementation Plan'!P154*(1-'B. Implementation Plan'!P147)^($C216-1),L165*(1-'B. Implementation Plan'!P149)*'B. Implementation Plan'!P152*'B. Implementation Plan'!P154*(1-'B. Implementation Plan'!P147)^($C216-1)),0),0)</f>
        <v>0</v>
      </c>
      <c r="M216" s="347">
        <f ca="1">IF($C216&lt;=ROUNDUP('B. Implementation Plan'!P156,0),ROUND(IF(AND($C216-'B. Implementation Plan'!P156&lt;1,$C216-'B. Implementation Plan'!P156&gt;0),MOD('B. Implementation Plan'!P156,1)*M165*(1-'B. Implementation Plan'!P149)*'B. Implementation Plan'!P152*'B. Implementation Plan'!P154*(1-'B. Implementation Plan'!P147)^($C216-1),M165*(1-'B. Implementation Plan'!P149)*'B. Implementation Plan'!P152*'B. Implementation Plan'!P154*(1-'B. Implementation Plan'!P147)^($C216-1)),0),0)</f>
        <v>0</v>
      </c>
      <c r="N216" s="347">
        <f ca="1">IF($C216&lt;=ROUNDUP('B. Implementation Plan'!P156,0),ROUND(IF(AND($C216-'B. Implementation Plan'!P156&lt;1,$C216-'B. Implementation Plan'!P156&gt;0),MOD('B. Implementation Plan'!P156,1)*N165*(1-'B. Implementation Plan'!P149)*'B. Implementation Plan'!P152*'B. Implementation Plan'!P154*(1-'B. Implementation Plan'!P147)^($C216-1),N165*(1-'B. Implementation Plan'!P149)*'B. Implementation Plan'!P152*'B. Implementation Plan'!P154*(1-'B. Implementation Plan'!P147)^($C216-1)),0),0)</f>
        <v>0</v>
      </c>
      <c r="O216" s="347">
        <f ca="1">IF($C216&lt;=ROUNDUP('B. Implementation Plan'!P156,0),ROUND(IF(AND($C216-'B. Implementation Plan'!P156&lt;1,$C216-'B. Implementation Plan'!P156&gt;0),MOD('B. Implementation Plan'!P156,1)*O165*(1-'B. Implementation Plan'!P149)*'B. Implementation Plan'!P152*'B. Implementation Plan'!P154*(1-'B. Implementation Plan'!P147)^($C216-1),O165*(1-'B. Implementation Plan'!P149)*'B. Implementation Plan'!P152*'B. Implementation Plan'!P154*(1-'B. Implementation Plan'!P147)^($C216-1)),0),0)</f>
        <v>0</v>
      </c>
      <c r="P216" s="78" t="str">
        <f ca="1">IF(SUM(F216:O216)&gt;0,SUM(F216:O216),"")</f>
        <v/>
      </c>
    </row>
    <row r="217" spans="3:16" s="365" customFormat="1" x14ac:dyDescent="0.3">
      <c r="C217" s="370">
        <v>2</v>
      </c>
      <c r="E217"/>
      <c r="F217"/>
      <c r="G217" s="347">
        <f ca="1">IF($C217&lt;=ROUNDUP('B. Implementation Plan'!P156,0),ROUND(IF(AND($C217-'B. Implementation Plan'!P156&lt;1,$C217-'B. Implementation Plan'!P156&gt;0),MOD('B. Implementation Plan'!P156,1)*(E165+F165)*(1-'B. Implementation Plan'!P149)*'B. Implementation Plan'!P152*'B. Implementation Plan'!P154*(1-'B. Implementation Plan'!P147)^($C217-1),(E165+F165)*(1-'B. Implementation Plan'!P149)*'B. Implementation Plan'!P152*'B. Implementation Plan'!P154*(1-'B. Implementation Plan'!P147)^($C217-1)),0),0)</f>
        <v>0</v>
      </c>
      <c r="H217" s="347">
        <f ca="1">IF($C217&lt;=ROUNDUP('B. Implementation Plan'!P156,0),ROUND(IF(AND($C217-'B. Implementation Plan'!P156&lt;1,$C217-'B. Implementation Plan'!P156&gt;0),MOD('B. Implementation Plan'!P156,1)*G165*(1-'B. Implementation Plan'!P149)*'B. Implementation Plan'!P152*'B. Implementation Plan'!P154*(1-'B. Implementation Plan'!P147)^($C217-1),G165*(1-'B. Implementation Plan'!P149)*'B. Implementation Plan'!P152*'B. Implementation Plan'!P154*(1-'B. Implementation Plan'!P147)^($C217-1)),0),0)</f>
        <v>0</v>
      </c>
      <c r="I217" s="347">
        <f ca="1">IF($C217&lt;=ROUNDUP('B. Implementation Plan'!P156,0),ROUND(IF(AND($C217-'B. Implementation Plan'!P156&lt;1,$C217-'B. Implementation Plan'!P156&gt;0),MOD('B. Implementation Plan'!P156,1)*H165*(1-'B. Implementation Plan'!P149)*'B. Implementation Plan'!P152*'B. Implementation Plan'!P154*(1-'B. Implementation Plan'!P147)^($C217-1),H165*(1-'B. Implementation Plan'!P149)*'B. Implementation Plan'!P152*'B. Implementation Plan'!P154*(1-'B. Implementation Plan'!P147)^($C217-1)),0),0)</f>
        <v>0</v>
      </c>
      <c r="J217" s="347">
        <f ca="1">IF($C217&lt;=ROUNDUP('B. Implementation Plan'!P156,0),ROUND(IF(AND($C217-'B. Implementation Plan'!P156&lt;1,$C217-'B. Implementation Plan'!P156&gt;0),MOD('B. Implementation Plan'!P156,1)*I165*(1-'B. Implementation Plan'!P149)*'B. Implementation Plan'!P152*'B. Implementation Plan'!P154*(1-'B. Implementation Plan'!P147)^($C217-1),I165*(1-'B. Implementation Plan'!P149)*'B. Implementation Plan'!P152*'B. Implementation Plan'!P154*(1-'B. Implementation Plan'!P147)^($C217-1)),0),0)</f>
        <v>0</v>
      </c>
      <c r="K217" s="347">
        <f ca="1">IF($C217&lt;=ROUNDUP('B. Implementation Plan'!P156,0),ROUND(IF(AND($C217-'B. Implementation Plan'!P156&lt;1,$C217-'B. Implementation Plan'!P156&gt;0),MOD('B. Implementation Plan'!P156,1)*J165*(1-'B. Implementation Plan'!P149)*'B. Implementation Plan'!P152*'B. Implementation Plan'!P154*(1-'B. Implementation Plan'!P147)^($C217-1),J165*(1-'B. Implementation Plan'!P149)*'B. Implementation Plan'!P152*'B. Implementation Plan'!P154*(1-'B. Implementation Plan'!P147)^($C217-1)),0),0)</f>
        <v>0</v>
      </c>
      <c r="L217" s="347">
        <f ca="1">IF($C217&lt;=ROUNDUP('B. Implementation Plan'!P156,0),ROUND(IF(AND($C217-'B. Implementation Plan'!P156&lt;1,$C217-'B. Implementation Plan'!P156&gt;0),MOD('B. Implementation Plan'!P156,1)*K165*(1-'B. Implementation Plan'!P149)*'B. Implementation Plan'!P152*'B. Implementation Plan'!P154*(1-'B. Implementation Plan'!P147)^($C217-1),K165*(1-'B. Implementation Plan'!P149)*'B. Implementation Plan'!P152*'B. Implementation Plan'!P154*(1-'B. Implementation Plan'!P147)^($C217-1)),0),0)</f>
        <v>0</v>
      </c>
      <c r="M217" s="347">
        <f ca="1">IF($C217&lt;=ROUNDUP('B. Implementation Plan'!P156,0),ROUND(IF(AND($C217-'B. Implementation Plan'!P156&lt;1,$C217-'B. Implementation Plan'!P156&gt;0),MOD('B. Implementation Plan'!P156,1)*L165*(1-'B. Implementation Plan'!P149)*'B. Implementation Plan'!P152*'B. Implementation Plan'!P154*(1-'B. Implementation Plan'!P147)^($C217-1),L165*(1-'B. Implementation Plan'!P149)*'B. Implementation Plan'!P152*'B. Implementation Plan'!P154*(1-'B. Implementation Plan'!P147)^($C217-1)),0),0)</f>
        <v>0</v>
      </c>
      <c r="N217" s="347">
        <f ca="1">IF($C217&lt;=ROUNDUP('B. Implementation Plan'!P156,0),ROUND(IF(AND($C217-'B. Implementation Plan'!P156&lt;1,$C217-'B. Implementation Plan'!P156&gt;0),MOD('B. Implementation Plan'!P156,1)*M165*(1-'B. Implementation Plan'!P149)*'B. Implementation Plan'!P152*'B. Implementation Plan'!P154*(1-'B. Implementation Plan'!P147)^($C217-1),M165*(1-'B. Implementation Plan'!P149)*'B. Implementation Plan'!P152*'B. Implementation Plan'!P154*(1-'B. Implementation Plan'!P147)^($C217-1)),0),0)</f>
        <v>0</v>
      </c>
      <c r="O217" s="347">
        <f ca="1">IF($C217&lt;=ROUNDUP('B. Implementation Plan'!P156,0),ROUND(IF(AND($C217-'B. Implementation Plan'!P156&lt;1,$C217-'B. Implementation Plan'!P156&gt;0),MOD('B. Implementation Plan'!P156,1)*N165*(1-'B. Implementation Plan'!P149)*'B. Implementation Plan'!P152*'B. Implementation Plan'!P154*(1-'B. Implementation Plan'!P147)^($C217-1),N165*(1-'B. Implementation Plan'!P149)*'B. Implementation Plan'!P152*'B. Implementation Plan'!P154*(1-'B. Implementation Plan'!P147)^($C217-1)),0),0)</f>
        <v>0</v>
      </c>
      <c r="P217" s="78" t="str">
        <f t="shared" ref="P217:P225" ca="1" si="270">IF(SUM(F217:O217)&gt;0,SUM(F217:O217),"")</f>
        <v/>
      </c>
    </row>
    <row r="218" spans="3:16" s="365" customFormat="1" x14ac:dyDescent="0.3">
      <c r="C218" s="370">
        <v>3</v>
      </c>
      <c r="E218"/>
      <c r="F218"/>
      <c r="G218"/>
      <c r="H218" s="347">
        <f ca="1">IF($C218&lt;=ROUNDUP('B. Implementation Plan'!P156,0),ROUND(IF(AND($C218-'B. Implementation Plan'!P156&lt;1,$C218-'B. Implementation Plan'!P156&gt;0),MOD('B. Implementation Plan'!P156,1)*(E165+F165)*(1-'B. Implementation Plan'!P149)*'B. Implementation Plan'!P152*'B. Implementation Plan'!P154*(1-'B. Implementation Plan'!P147)^($C218-1),(E165+F165)*(1-'B. Implementation Plan'!P149)*'B. Implementation Plan'!P152*'B. Implementation Plan'!P154*(1-'B. Implementation Plan'!P147)^($C218-1)),0),0)</f>
        <v>0</v>
      </c>
      <c r="I218" s="347">
        <f ca="1">IF($C218&lt;=ROUNDUP('B. Implementation Plan'!P156,0),ROUND(IF(AND($C218-'B. Implementation Plan'!P156&lt;1,$C218-'B. Implementation Plan'!P156&gt;0),MOD('B. Implementation Plan'!P156,1)*G165*(1-'B. Implementation Plan'!P149)*'B. Implementation Plan'!P152*'B. Implementation Plan'!P154*(1-'B. Implementation Plan'!P147)^($C218-1),G165*(1-'B. Implementation Plan'!P149)*'B. Implementation Plan'!P152*'B. Implementation Plan'!P154*(1-'B. Implementation Plan'!P147)^($C218-1)),0),0)</f>
        <v>0</v>
      </c>
      <c r="J218" s="347">
        <f ca="1">IF($C218&lt;=ROUNDUP('B. Implementation Plan'!P156,0),ROUND(IF(AND($C218-'B. Implementation Plan'!P156&lt;1,$C218-'B. Implementation Plan'!P156&gt;0),MOD('B. Implementation Plan'!P156,1)*H165*(1-'B. Implementation Plan'!P149)*'B. Implementation Plan'!P152*'B. Implementation Plan'!P154*(1-'B. Implementation Plan'!P147)^($C218-1),H165*(1-'B. Implementation Plan'!P149)*'B. Implementation Plan'!P152*'B. Implementation Plan'!P154*(1-'B. Implementation Plan'!P147)^($C218-1)),0),0)</f>
        <v>0</v>
      </c>
      <c r="K218" s="347">
        <f ca="1">IF($C218&lt;=ROUNDUP('B. Implementation Plan'!P156,0),ROUND(IF(AND($C218-'B. Implementation Plan'!P156&lt;1,$C218-'B. Implementation Plan'!P156&gt;0),MOD('B. Implementation Plan'!P156,1)*I165*(1-'B. Implementation Plan'!P149)*'B. Implementation Plan'!P152*'B. Implementation Plan'!P154*(1-'B. Implementation Plan'!P147)^($C218-1),I165*(1-'B. Implementation Plan'!P149)*'B. Implementation Plan'!P152*'B. Implementation Plan'!P154*(1-'B. Implementation Plan'!P147)^($C218-1)),0),0)</f>
        <v>0</v>
      </c>
      <c r="L218" s="347">
        <f ca="1">IF($C218&lt;=ROUNDUP('B. Implementation Plan'!P156,0),ROUND(IF(AND($C218-'B. Implementation Plan'!P156&lt;1,$C218-'B. Implementation Plan'!P156&gt;0),MOD('B. Implementation Plan'!P156,1)*J165*(1-'B. Implementation Plan'!P149)*'B. Implementation Plan'!P152*'B. Implementation Plan'!P154*(1-'B. Implementation Plan'!P147)^($C218-1),J165*(1-'B. Implementation Plan'!P149)*'B. Implementation Plan'!P152*'B. Implementation Plan'!P154*(1-'B. Implementation Plan'!P147)^($C218-1)),0),0)</f>
        <v>0</v>
      </c>
      <c r="M218" s="347">
        <f ca="1">IF($C218&lt;=ROUNDUP('B. Implementation Plan'!P156,0),ROUND(IF(AND($C218-'B. Implementation Plan'!P156&lt;1,$C218-'B. Implementation Plan'!P156&gt;0),MOD('B. Implementation Plan'!P156,1)*K165*(1-'B. Implementation Plan'!P149)*'B. Implementation Plan'!P152*'B. Implementation Plan'!P154*(1-'B. Implementation Plan'!P147)^($C218-1),K165*(1-'B. Implementation Plan'!P149)*'B. Implementation Plan'!P152*'B. Implementation Plan'!P154*(1-'B. Implementation Plan'!P147)^($C218-1)),0),0)</f>
        <v>0</v>
      </c>
      <c r="N218" s="347">
        <f ca="1">IF($C218&lt;=ROUNDUP('B. Implementation Plan'!P156,0),ROUND(IF(AND($C218-'B. Implementation Plan'!P156&lt;1,$C218-'B. Implementation Plan'!P156&gt;0),MOD('B. Implementation Plan'!P156,1)*L165*(1-'B. Implementation Plan'!P149)*'B. Implementation Plan'!P152*'B. Implementation Plan'!P154*(1-'B. Implementation Plan'!P147)^($C218-1),L165*(1-'B. Implementation Plan'!P149)*'B. Implementation Plan'!P152*'B. Implementation Plan'!P154*(1-'B. Implementation Plan'!P147)^($C218-1)),0),0)</f>
        <v>0</v>
      </c>
      <c r="O218" s="347">
        <f ca="1">IF($C218&lt;=ROUNDUP('B. Implementation Plan'!P156,0),ROUND(IF(AND($C218-'B. Implementation Plan'!P156&lt;1,$C218-'B. Implementation Plan'!P156&gt;0),MOD('B. Implementation Plan'!P156,1)*M165*(1-'B. Implementation Plan'!P149)*'B. Implementation Plan'!P152*'B. Implementation Plan'!P154*(1-'B. Implementation Plan'!P147)^($C218-1),M165*(1-'B. Implementation Plan'!P149)*'B. Implementation Plan'!P152*'B. Implementation Plan'!P154*(1-'B. Implementation Plan'!P147)^($C218-1)),0),0)</f>
        <v>0</v>
      </c>
      <c r="P218" s="78" t="str">
        <f t="shared" ca="1" si="270"/>
        <v/>
      </c>
    </row>
    <row r="219" spans="3:16" s="365" customFormat="1" x14ac:dyDescent="0.3">
      <c r="C219" s="370">
        <v>4</v>
      </c>
      <c r="D219" s="365" t="s">
        <v>361</v>
      </c>
      <c r="E219"/>
      <c r="F219"/>
      <c r="G219"/>
      <c r="H219"/>
      <c r="I219" s="347">
        <f ca="1">IF($C219&lt;=ROUNDUP('B. Implementation Plan'!P156,0),ROUND(IF(AND($C219-'B. Implementation Plan'!P156&lt;1,$C219-'B. Implementation Plan'!P156&gt;0),MOD('B. Implementation Plan'!P156,1)*(E165+F165)*(1-'B. Implementation Plan'!P149)*'B. Implementation Plan'!P152*'B. Implementation Plan'!P154*(1-'B. Implementation Plan'!P147)^($C219-1),(E165+F165)*(1-'B. Implementation Plan'!P149)*'B. Implementation Plan'!P152*'B. Implementation Plan'!P154*(1-'B. Implementation Plan'!P147)^($C219-1)),0),0)</f>
        <v>0</v>
      </c>
      <c r="J219" s="347">
        <f ca="1">IF($C219&lt;=ROUNDUP('B. Implementation Plan'!P156,0),ROUND(IF(AND($C219-'B. Implementation Plan'!P156&lt;1,$C219-'B. Implementation Plan'!P156&gt;0),MOD('B. Implementation Plan'!P156,1)*G165*(1-'B. Implementation Plan'!P149)*'B. Implementation Plan'!P152*'B. Implementation Plan'!P154*(1-'B. Implementation Plan'!P147)^($C219-1),G165*(1-'B. Implementation Plan'!P149)*'B. Implementation Plan'!P152*'B. Implementation Plan'!P154*(1-'B. Implementation Plan'!P147)^($C219-1)),0),0)</f>
        <v>0</v>
      </c>
      <c r="K219" s="347">
        <f ca="1">IF($C219&lt;=ROUNDUP('B. Implementation Plan'!P156,0),ROUND(IF(AND($C219-'B. Implementation Plan'!P156&lt;1,$C219-'B. Implementation Plan'!P156&gt;0),MOD('B. Implementation Plan'!P156,1)*H165*(1-'B. Implementation Plan'!P149)*'B. Implementation Plan'!P152*'B. Implementation Plan'!P154*(1-'B. Implementation Plan'!P147)^($C219-1),H165*(1-'B. Implementation Plan'!P149)*'B. Implementation Plan'!P152*'B. Implementation Plan'!P154*(1-'B. Implementation Plan'!P147)^($C219-1)),0),0)</f>
        <v>0</v>
      </c>
      <c r="L219" s="347">
        <f ca="1">IF($C219&lt;=ROUNDUP('B. Implementation Plan'!P156,0),ROUND(IF(AND($C219-'B. Implementation Plan'!P156&lt;1,$C219-'B. Implementation Plan'!P156&gt;0),MOD('B. Implementation Plan'!P156,1)*I165*(1-'B. Implementation Plan'!P149)*'B. Implementation Plan'!P152*'B. Implementation Plan'!P154*(1-'B. Implementation Plan'!P147)^($C219-1),I165*(1-'B. Implementation Plan'!P149)*'B. Implementation Plan'!P152*'B. Implementation Plan'!P154*(1-'B. Implementation Plan'!P147)^($C219-1)),0),0)</f>
        <v>0</v>
      </c>
      <c r="M219" s="347">
        <f ca="1">IF($C219&lt;=ROUNDUP('B. Implementation Plan'!P156,0),ROUND(IF(AND($C219-'B. Implementation Plan'!P156&lt;1,$C219-'B. Implementation Plan'!P156&gt;0),MOD('B. Implementation Plan'!P156,1)*J165*(1-'B. Implementation Plan'!P149)*'B. Implementation Plan'!P152*'B. Implementation Plan'!P154*(1-'B. Implementation Plan'!P147)^($C219-1),J165*(1-'B. Implementation Plan'!P149)*'B. Implementation Plan'!P152*'B. Implementation Plan'!P154*(1-'B. Implementation Plan'!P147)^($C219-1)),0),0)</f>
        <v>0</v>
      </c>
      <c r="N219" s="347">
        <f ca="1">IF($C219&lt;=ROUNDUP('B. Implementation Plan'!P156,0),ROUND(IF(AND($C219-'B. Implementation Plan'!P156&lt;1,$C219-'B. Implementation Plan'!P156&gt;0),MOD('B. Implementation Plan'!P156,1)*K165*(1-'B. Implementation Plan'!P149)*'B. Implementation Plan'!P152*'B. Implementation Plan'!P154*(1-'B. Implementation Plan'!P147)^($C219-1),K165*(1-'B. Implementation Plan'!P149)*'B. Implementation Plan'!P152*'B. Implementation Plan'!P154*(1-'B. Implementation Plan'!P147)^($C219-1)),0),0)</f>
        <v>0</v>
      </c>
      <c r="O219" s="347">
        <f ca="1">IF($C219&lt;=ROUNDUP('B. Implementation Plan'!P156,0),ROUND(IF(AND($C219-'B. Implementation Plan'!P156&lt;1,$C219-'B. Implementation Plan'!P156&gt;0),MOD('B. Implementation Plan'!P156,1)*L165*(1-'B. Implementation Plan'!P149)*'B. Implementation Plan'!P152*'B. Implementation Plan'!P154*(1-'B. Implementation Plan'!P147)^($C219-1),L165*(1-'B. Implementation Plan'!P149)*'B. Implementation Plan'!P152*'B. Implementation Plan'!P154*(1-'B. Implementation Plan'!P147)^($C219-1)),0),0)</f>
        <v>0</v>
      </c>
      <c r="P219" s="78" t="str">
        <f t="shared" ca="1" si="270"/>
        <v/>
      </c>
    </row>
    <row r="220" spans="3:16" s="365" customFormat="1" x14ac:dyDescent="0.3">
      <c r="C220" s="370">
        <v>5</v>
      </c>
      <c r="E220"/>
      <c r="F220"/>
      <c r="G220"/>
      <c r="H220"/>
      <c r="I220"/>
      <c r="J220" s="347">
        <f ca="1">IF($C220&lt;=ROUNDUP('B. Implementation Plan'!P156,0),ROUND(IF(AND($C220-'B. Implementation Plan'!P156&lt;1,$C220-'B. Implementation Plan'!P156&gt;0),MOD('B. Implementation Plan'!P156,1)*(E165+F165)*(1-'B. Implementation Plan'!P149)*'B. Implementation Plan'!P152*'B. Implementation Plan'!P154*(1-'B. Implementation Plan'!P147)^($C220-1),(E165+F165)*(1-'B. Implementation Plan'!P149)*'B. Implementation Plan'!P152*'B. Implementation Plan'!P154*(1-'B. Implementation Plan'!P147)^($C220-1)),0),0)</f>
        <v>0</v>
      </c>
      <c r="K220" s="347">
        <f ca="1">IF($C220&lt;=ROUNDUP('B. Implementation Plan'!P156,0),ROUND(IF(AND($C220-'B. Implementation Plan'!P156&lt;1,$C220-'B. Implementation Plan'!P156&gt;0),MOD('B. Implementation Plan'!P156,1)*G165*(1-'B. Implementation Plan'!P149)*'B. Implementation Plan'!P152*'B. Implementation Plan'!P154*(1-'B. Implementation Plan'!P147)^($C220-1),G165*(1-'B. Implementation Plan'!P149)*'B. Implementation Plan'!P152*'B. Implementation Plan'!P154*(1-'B. Implementation Plan'!P147)^($C220-1)),0),0)</f>
        <v>0</v>
      </c>
      <c r="L220" s="347">
        <f ca="1">IF($C220&lt;=ROUNDUP('B. Implementation Plan'!P156,0),ROUND(IF(AND($C220-'B. Implementation Plan'!P156&lt;1,$C220-'B. Implementation Plan'!P156&gt;0),MOD('B. Implementation Plan'!P156,1)*H165*(1-'B. Implementation Plan'!P149)*'B. Implementation Plan'!P152*'B. Implementation Plan'!P154*(1-'B. Implementation Plan'!P147)^($C220-1),H165*(1-'B. Implementation Plan'!P149)*'B. Implementation Plan'!P152*'B. Implementation Plan'!P154*(1-'B. Implementation Plan'!P147)^($C220-1)),0),0)</f>
        <v>0</v>
      </c>
      <c r="M220" s="347">
        <f ca="1">IF($C220&lt;=ROUNDUP('B. Implementation Plan'!P156,0),ROUND(IF(AND($C220-'B. Implementation Plan'!P156&lt;1,$C220-'B. Implementation Plan'!P156&gt;0),MOD('B. Implementation Plan'!P156,1)*I165*(1-'B. Implementation Plan'!P149)*'B. Implementation Plan'!P152*'B. Implementation Plan'!P154*(1-'B. Implementation Plan'!P147)^($C220-1),I165*(1-'B. Implementation Plan'!P149)*'B. Implementation Plan'!P152*'B. Implementation Plan'!P154*(1-'B. Implementation Plan'!P147)^($C220-1)),0),0)</f>
        <v>0</v>
      </c>
      <c r="N220" s="347">
        <f ca="1">IF($C220&lt;=ROUNDUP('B. Implementation Plan'!P156,0),ROUND(IF(AND($C220-'B. Implementation Plan'!P156&lt;1,$C220-'B. Implementation Plan'!P156&gt;0),MOD('B. Implementation Plan'!P156,1)*J165*(1-'B. Implementation Plan'!P149)*'B. Implementation Plan'!P152*'B. Implementation Plan'!P154*(1-'B. Implementation Plan'!P147)^($C220-1),J165*(1-'B. Implementation Plan'!P149)*'B. Implementation Plan'!P152*'B. Implementation Plan'!P154*(1-'B. Implementation Plan'!P147)^($C220-1)),0),0)</f>
        <v>0</v>
      </c>
      <c r="O220" s="347">
        <f ca="1">IF($C220&lt;=ROUNDUP('B. Implementation Plan'!P156,0),ROUND(IF(AND($C220-'B. Implementation Plan'!P156&lt;1,$C220-'B. Implementation Plan'!P156&gt;0),MOD('B. Implementation Plan'!P156,1)*K165*(1-'B. Implementation Plan'!P149)*'B. Implementation Plan'!P152*'B. Implementation Plan'!P154*(1-'B. Implementation Plan'!P147)^($C220-1),K165*(1-'B. Implementation Plan'!P149)*'B. Implementation Plan'!P152*'B. Implementation Plan'!P154*(1-'B. Implementation Plan'!P147)^($C220-1)),0),0)</f>
        <v>0</v>
      </c>
      <c r="P220" s="78" t="str">
        <f t="shared" ca="1" si="270"/>
        <v/>
      </c>
    </row>
    <row r="221" spans="3:16" s="365" customFormat="1" x14ac:dyDescent="0.3">
      <c r="C221" s="370">
        <v>6</v>
      </c>
      <c r="E221"/>
      <c r="F221"/>
      <c r="G221"/>
      <c r="H221"/>
      <c r="I221"/>
      <c r="J221"/>
      <c r="K221" s="347">
        <f ca="1">IF($C221&lt;=ROUNDUP('B. Implementation Plan'!P156,0),ROUND(IF(AND($C221-'B. Implementation Plan'!P156&lt;1,$C221-'B. Implementation Plan'!P156&gt;0),MOD('B. Implementation Plan'!P156,1)*(E165+F165)*(1-'B. Implementation Plan'!P149)*'B. Implementation Plan'!P152*'B. Implementation Plan'!P154*(1-'B. Implementation Plan'!P147)^($C221-1),(E165+F165)*(1-'B. Implementation Plan'!P149)*'B. Implementation Plan'!P152*'B. Implementation Plan'!P154*(1-'B. Implementation Plan'!P147)^($C221-1)),0),0)</f>
        <v>0</v>
      </c>
      <c r="L221" s="347">
        <f ca="1">IF($C221&lt;=ROUNDUP('B. Implementation Plan'!P156,0),ROUND(IF(AND($C221-'B. Implementation Plan'!P156&lt;1,$C221-'B. Implementation Plan'!P156&gt;0),MOD('B. Implementation Plan'!P156,1)*G165*(1-'B. Implementation Plan'!P149)*'B. Implementation Plan'!P152*'B. Implementation Plan'!P154*(1-'B. Implementation Plan'!P147)^($C221-1),G165*(1-'B. Implementation Plan'!P149)*'B. Implementation Plan'!P152*'B. Implementation Plan'!P154*(1-'B. Implementation Plan'!P147)^($C221-1)),0),0)</f>
        <v>0</v>
      </c>
      <c r="M221" s="347">
        <f ca="1">IF($C221&lt;=ROUNDUP('B. Implementation Plan'!P156,0),ROUND(IF(AND($C221-'B. Implementation Plan'!P156&lt;1,$C221-'B. Implementation Plan'!P156&gt;0),MOD('B. Implementation Plan'!P156,1)*H165*(1-'B. Implementation Plan'!P149)*'B. Implementation Plan'!P152*'B. Implementation Plan'!P154*(1-'B. Implementation Plan'!P147)^($C221-1),H165*(1-'B. Implementation Plan'!P149)*'B. Implementation Plan'!P152*'B. Implementation Plan'!P154*(1-'B. Implementation Plan'!P147)^($C221-1)),0),0)</f>
        <v>0</v>
      </c>
      <c r="N221" s="347">
        <f ca="1">IF($C221&lt;=ROUNDUP('B. Implementation Plan'!P156,0),ROUND(IF(AND($C221-'B. Implementation Plan'!P156&lt;1,$C221-'B. Implementation Plan'!P156&gt;0),MOD('B. Implementation Plan'!P156,1)*I165*(1-'B. Implementation Plan'!P149)*'B. Implementation Plan'!P152*'B. Implementation Plan'!P154*(1-'B. Implementation Plan'!P147)^($C221-1),I165*(1-'B. Implementation Plan'!P149)*'B. Implementation Plan'!P152*'B. Implementation Plan'!P154*(1-'B. Implementation Plan'!P147)^($C221-1)),0),0)</f>
        <v>0</v>
      </c>
      <c r="O221" s="347">
        <f ca="1">IF($C221&lt;=ROUNDUP('B. Implementation Plan'!P156,0),ROUND(IF(AND($C221-'B. Implementation Plan'!P156&lt;1,$C221-'B. Implementation Plan'!P156&gt;0),MOD('B. Implementation Plan'!P156,1)*J165*(1-'B. Implementation Plan'!P149)*'B. Implementation Plan'!P152*'B. Implementation Plan'!P154*(1-'B. Implementation Plan'!P147)^($C221-1),J165*(1-'B. Implementation Plan'!P149)*'B. Implementation Plan'!P152*'B. Implementation Plan'!P154*(1-'B. Implementation Plan'!P147)^($C221-1)),0),0)</f>
        <v>0</v>
      </c>
      <c r="P221" s="78" t="str">
        <f t="shared" ca="1" si="270"/>
        <v/>
      </c>
    </row>
    <row r="222" spans="3:16" s="365" customFormat="1" x14ac:dyDescent="0.3">
      <c r="C222" s="370">
        <v>7</v>
      </c>
      <c r="E222"/>
      <c r="F222"/>
      <c r="G222"/>
      <c r="H222"/>
      <c r="I222"/>
      <c r="J222"/>
      <c r="K222"/>
      <c r="L222" s="347">
        <f>IF($C222&lt;=ROUNDUP('B. Implementation Plan'!P156,0),ROUND(IF(AND($C222-'B. Implementation Plan'!P156&lt;1,$C222-'B. Implementation Plan'!P156&gt;0),MOD('B. Implementation Plan'!P156,1)*(E165+F165)*(1-'B. Implementation Plan'!P149)*'B. Implementation Plan'!P152*'B. Implementation Plan'!P154*(1-'B. Implementation Plan'!P147)^($C222-1),(E165+F165)*(1-'B. Implementation Plan'!P149)*'B. Implementation Plan'!P152*'B. Implementation Plan'!P154*(1-'B. Implementation Plan'!P147)^($C222-1)),0),0)</f>
        <v>0</v>
      </c>
      <c r="M222" s="347">
        <f>IF($C222&lt;=ROUNDUP('B. Implementation Plan'!P156,0),ROUND(IF(AND($C222-'B. Implementation Plan'!P156&lt;1,$C222-'B. Implementation Plan'!P156&gt;0),MOD('B. Implementation Plan'!P156,1)*G165*(1-'B. Implementation Plan'!P149)*'B. Implementation Plan'!P152*'B. Implementation Plan'!P154*(1-'B. Implementation Plan'!P147)^($C222-1),G165*(1-'B. Implementation Plan'!P149)*'B. Implementation Plan'!P152*'B. Implementation Plan'!P154*(1-'B. Implementation Plan'!P147)^($C222-1)),0),0)</f>
        <v>0</v>
      </c>
      <c r="N222" s="347">
        <f>IF($C222&lt;=ROUNDUP('B. Implementation Plan'!P156,0),ROUND(IF(AND($C222-'B. Implementation Plan'!P156&lt;1,$C222-'B. Implementation Plan'!P156&gt;0),MOD('B. Implementation Plan'!P156,1)*H165*(1-'B. Implementation Plan'!P149)*'B. Implementation Plan'!P152*'B. Implementation Plan'!P154*(1-'B. Implementation Plan'!P147)^($C222-1),H165*(1-'B. Implementation Plan'!P149)*'B. Implementation Plan'!P152*'B. Implementation Plan'!P154*(1-'B. Implementation Plan'!P147)^($C222-1)),0),0)</f>
        <v>0</v>
      </c>
      <c r="O222" s="347">
        <f>IF($C222&lt;=ROUNDUP('B. Implementation Plan'!P156,0),ROUND(IF(AND($C222-'B. Implementation Plan'!P156&lt;1,$C222-'B. Implementation Plan'!P156&gt;0),MOD('B. Implementation Plan'!P156,1)*I165*(1-'B. Implementation Plan'!P149)*'B. Implementation Plan'!P152*'B. Implementation Plan'!P154*(1-'B. Implementation Plan'!P147)^($C222-1),I165*(1-'B. Implementation Plan'!P149)*'B. Implementation Plan'!P152*'B. Implementation Plan'!P154*(1-'B. Implementation Plan'!P147)^($C222-1)),0),0)</f>
        <v>0</v>
      </c>
      <c r="P222" s="78" t="str">
        <f t="shared" si="270"/>
        <v/>
      </c>
    </row>
    <row r="223" spans="3:16" s="365" customFormat="1" x14ac:dyDescent="0.3">
      <c r="C223" s="370">
        <v>8</v>
      </c>
      <c r="E223"/>
      <c r="F223"/>
      <c r="G223"/>
      <c r="H223"/>
      <c r="I223"/>
      <c r="J223"/>
      <c r="K223"/>
      <c r="L223"/>
      <c r="M223" s="347">
        <f>IF($C223&lt;=ROUNDUP('B. Implementation Plan'!P156,0),ROUND(IF(AND($C223-'B. Implementation Plan'!P156&lt;1,$C223-'B. Implementation Plan'!P156&gt;0),MOD('B. Implementation Plan'!P156,1)*(E165+F165)*(1-'B. Implementation Plan'!P149)*'B. Implementation Plan'!P152*'B. Implementation Plan'!P154*(1-'B. Implementation Plan'!P147)^($C223-1),(E165+F165)*(1-'B. Implementation Plan'!P149)*'B. Implementation Plan'!P152*'B. Implementation Plan'!P154*(1-'B. Implementation Plan'!P147)^($C223-1)),0),0)</f>
        <v>0</v>
      </c>
      <c r="N223" s="347">
        <f>IF($C223&lt;=ROUNDUP('B. Implementation Plan'!P156,0),ROUND(IF(AND($C223-'B. Implementation Plan'!P156&lt;1,$C223-'B. Implementation Plan'!P156&gt;0),MOD('B. Implementation Plan'!P156,1)*G165*(1-'B. Implementation Plan'!P149)*'B. Implementation Plan'!P152*'B. Implementation Plan'!P154*(1-'B. Implementation Plan'!P147)^($C223-1),G165*(1-'B. Implementation Plan'!P149)*'B. Implementation Plan'!P152*'B. Implementation Plan'!P154*(1-'B. Implementation Plan'!P147)^($C223-1)),0),0)</f>
        <v>0</v>
      </c>
      <c r="O223" s="347">
        <f>IF($C223&lt;=ROUNDUP('B. Implementation Plan'!P156,0),ROUND(IF(AND($C223-'B. Implementation Plan'!P156&lt;1,$C223-'B. Implementation Plan'!P156&gt;0),MOD('B. Implementation Plan'!P156,1)*H165*(1-'B. Implementation Plan'!P149)*'B. Implementation Plan'!P152*'B. Implementation Plan'!P154*(1-'B. Implementation Plan'!P147)^($C223-1),H165*(1-'B. Implementation Plan'!P149)*'B. Implementation Plan'!P152*'B. Implementation Plan'!P154*(1-'B. Implementation Plan'!P147)^($C223-1)),0),0)</f>
        <v>0</v>
      </c>
      <c r="P223" s="78" t="str">
        <f t="shared" si="270"/>
        <v/>
      </c>
    </row>
    <row r="224" spans="3:16" s="365" customFormat="1" x14ac:dyDescent="0.3">
      <c r="C224" s="370">
        <v>9</v>
      </c>
      <c r="E224"/>
      <c r="F224"/>
      <c r="G224"/>
      <c r="H224"/>
      <c r="I224"/>
      <c r="J224"/>
      <c r="K224"/>
      <c r="L224"/>
      <c r="M224"/>
      <c r="N224" s="347">
        <f>IF($C224&lt;=ROUNDUP('B. Implementation Plan'!P156,0),ROUND(IF(AND($C224-'B. Implementation Plan'!P156&lt;1,$C224-'B. Implementation Plan'!P156&gt;0),MOD('B. Implementation Plan'!P156,1)*(E165+F165)*(1-'B. Implementation Plan'!P149)*'B. Implementation Plan'!P152*'B. Implementation Plan'!P154*(1-'B. Implementation Plan'!P147)^($C224-1),(E165+F165)*(1-'B. Implementation Plan'!P149)*'B. Implementation Plan'!P152*'B. Implementation Plan'!P154*(1-'B. Implementation Plan'!P147)^($C224-1)),0),0)</f>
        <v>0</v>
      </c>
      <c r="O224" s="347">
        <f>IF($C224&lt;=ROUNDUP('B. Implementation Plan'!P156,0),ROUND(IF(AND($C224-'B. Implementation Plan'!P156&lt;1,$C224-'B. Implementation Plan'!P156&gt;0),MOD('B. Implementation Plan'!P156,1)*G165*(1-'B. Implementation Plan'!P149)*'B. Implementation Plan'!P152*'B. Implementation Plan'!P154*(1-'B. Implementation Plan'!P147)^($C224-1),G165*(1-'B. Implementation Plan'!P149)*'B. Implementation Plan'!P152*'B. Implementation Plan'!P154*(1-'B. Implementation Plan'!P147)^($C224-1)),0),0)</f>
        <v>0</v>
      </c>
      <c r="P224" s="78" t="str">
        <f t="shared" si="270"/>
        <v/>
      </c>
    </row>
    <row r="225" spans="1:16" s="365" customFormat="1" x14ac:dyDescent="0.3">
      <c r="C225" s="370">
        <v>10</v>
      </c>
      <c r="E225"/>
      <c r="F225"/>
      <c r="G225"/>
      <c r="H225"/>
      <c r="I225"/>
      <c r="J225"/>
      <c r="K225"/>
      <c r="L225"/>
      <c r="M225"/>
      <c r="N225" s="19"/>
      <c r="O225" s="347">
        <f>IF($C225&lt;=ROUNDUP('B. Implementation Plan'!P156,0),ROUND(IF(AND($C225-'B. Implementation Plan'!P156&lt;1,$C225-'B. Implementation Plan'!P156&gt;0),MOD('B. Implementation Plan'!P156,1)*(E165+F165)*(1-'B. Implementation Plan'!P149)*'B. Implementation Plan'!P152*'B. Implementation Plan'!P154*(1-'B. Implementation Plan'!P147)^($C225-1),(E165+F165)*(1-'B. Implementation Plan'!P149)*'B. Implementation Plan'!P152*'B. Implementation Plan'!P154*(1-'B. Implementation Plan'!P147)^($C225-1)),0),0)</f>
        <v>0</v>
      </c>
      <c r="P225" s="78" t="str">
        <f t="shared" si="270"/>
        <v/>
      </c>
    </row>
    <row r="226" spans="1:16" s="1" customFormat="1" x14ac:dyDescent="0.3">
      <c r="C226" s="376" t="s">
        <v>528</v>
      </c>
      <c r="E226"/>
      <c r="F226" s="371">
        <f t="shared" ref="F226:O226" ca="1" si="271">IF(F160&gt;0,SUM(F216:F225),0)</f>
        <v>0</v>
      </c>
      <c r="G226" s="371">
        <f t="shared" ca="1" si="271"/>
        <v>0</v>
      </c>
      <c r="H226" s="371">
        <f t="shared" ca="1" si="271"/>
        <v>0</v>
      </c>
      <c r="I226" s="371">
        <f t="shared" ca="1" si="271"/>
        <v>0</v>
      </c>
      <c r="J226" s="371">
        <f t="shared" ca="1" si="271"/>
        <v>0</v>
      </c>
      <c r="K226" s="371">
        <f t="shared" ca="1" si="271"/>
        <v>0</v>
      </c>
      <c r="L226" s="371">
        <f t="shared" ca="1" si="271"/>
        <v>0</v>
      </c>
      <c r="M226" s="371">
        <f t="shared" ca="1" si="271"/>
        <v>0</v>
      </c>
      <c r="N226" s="371">
        <f t="shared" ca="1" si="271"/>
        <v>0</v>
      </c>
      <c r="O226" s="377">
        <f t="shared" ca="1" si="271"/>
        <v>0</v>
      </c>
      <c r="P226" s="325">
        <f ca="1">SUM(E226:O226)</f>
        <v>0</v>
      </c>
    </row>
    <row r="227" spans="1:16" s="1" customFormat="1" x14ac:dyDescent="0.3">
      <c r="C227" s="353" t="s">
        <v>472</v>
      </c>
      <c r="E227"/>
      <c r="F227" s="324">
        <f ca="1">MIN(IFERROR(ROUNDUP(IF(F160&gt;0,INDEX(F216:F225,MATCH(9.99999999999999E+307,P216:P225))/IF(MOD('B. Implementation Plan'!P156,1)=0,1,MOD('B. Implementation Plan'!P156,1)),0),0),0),MAX(E216:E225))</f>
        <v>0</v>
      </c>
      <c r="G227" s="324">
        <f ca="1">MIN(IFERROR(ROUNDUP(IF(G160&gt;0,INDEX(G216:G225,MATCH(9.99999999999999E+307,P216:P225))/IF(MOD('B. Implementation Plan'!P156,1)=0,1,MOD('B. Implementation Plan'!P156,1)),0),0),0),MAX(E216:F225))</f>
        <v>0</v>
      </c>
      <c r="H227" s="324">
        <f ca="1">MIN(IFERROR(ROUNDUP(IF(H160&gt;0,INDEX(H216:H225,MATCH(9.99999999999999E+307,P216:P225))/IF(MOD('B. Implementation Plan'!P156,1)=0,1,MOD('B. Implementation Plan'!P156,1)),0),0),0),MAX(E216:G225))</f>
        <v>0</v>
      </c>
      <c r="I227" s="324">
        <f ca="1">MIN(IFERROR(ROUNDUP(IF(I160&gt;0,INDEX(I216:I225,MATCH(9.99999999999999E+307,P216:P225))/IF(MOD('B. Implementation Plan'!P156,1)=0,1,MOD('B. Implementation Plan'!P156,1)),0),0),0),MAX(E216:H225))</f>
        <v>0</v>
      </c>
      <c r="J227" s="324">
        <f ca="1">MIN(IFERROR(ROUNDUP(IF(J160&gt;0,INDEX(J216:J225,MATCH(9.99999999999999E+307,P216:P225))/IF(MOD('B. Implementation Plan'!P156,1)=0,1,MOD('B. Implementation Plan'!P156,1)),0),0),0),MAX(E216:I225))</f>
        <v>0</v>
      </c>
      <c r="K227" s="324">
        <f ca="1">MIN(IFERROR(ROUNDUP(IF(K160&gt;0,INDEX(K216:K225,MATCH(9.99999999999999E+307,P216:P225))/IF(MOD('B. Implementation Plan'!P156,1)=0,1,MOD('B. Implementation Plan'!P156,1)),0),0),0),MAX(E216:J225))</f>
        <v>0</v>
      </c>
      <c r="L227" s="324">
        <f ca="1">MIN(IFERROR(ROUNDUP(IF(L160&gt;0,INDEX(L216:L225,MATCH(9.99999999999999E+307,P216:P225))/IF(MOD('B. Implementation Plan'!P156,1)=0,1,MOD('B. Implementation Plan'!P156,1)),0),0),0),MAX(E216:K225))</f>
        <v>0</v>
      </c>
      <c r="M227" s="324">
        <f ca="1">MIN(IFERROR(ROUNDUP(IF(M160&gt;0,INDEX(M216:M225,MATCH(9.99999999999999E+307,P216:P225))/IF(MOD('B. Implementation Plan'!P156,1)=0,1,MOD('B. Implementation Plan'!P156,1)),0),0),0),MAX(E216:L225))</f>
        <v>0</v>
      </c>
      <c r="N227" s="324">
        <f ca="1">MIN(IFERROR(ROUNDUP(IF(N160&gt;0,INDEX(N216:N225,MATCH(9.99999999999999E+307,P216:P225))/IF(MOD('B. Implementation Plan'!P156,1)=0,1,MOD('B. Implementation Plan'!P156,1)),0),0),0),MAX(E216:M225))</f>
        <v>0</v>
      </c>
      <c r="O227" s="324">
        <f ca="1">MIN(IFERROR(ROUNDUP(IF(O160&gt;0,INDEX(O216:O225,MATCH(9.99999999999999E+307,P216:P225))/IF(MOD('B. Implementation Plan'!P156,1)=0,1,MOD('B. Implementation Plan'!P156,1)),0),0),0),MAX(E216:N225))</f>
        <v>0</v>
      </c>
      <c r="P227" s="325">
        <f ca="1">SUM(E227:O227)</f>
        <v>0</v>
      </c>
    </row>
    <row r="228" spans="1:16" s="365" customFormat="1" x14ac:dyDescent="0.3">
      <c r="C228" s="326" t="s">
        <v>470</v>
      </c>
      <c r="E228"/>
      <c r="F228" s="347">
        <f ca="1">ROUNDUP(IF(F160&gt;0,IF(SUM(E227:F227,E228:E228)*'B. Implementation Plan'!P147&gt;P227,0,-ROUND(SUM(E227:F227,E228:E228)*'B. Implementation Plan'!P147,0)),0),0)</f>
        <v>0</v>
      </c>
      <c r="G228" s="347">
        <f ca="1">ROUNDUP(IF(G160&gt;0,IF(SUM(E227:G227,E228:F228)*'B. Implementation Plan'!P147&gt;P227,0,-ROUND(SUM(E227:G227,E228:F228)*'B. Implementation Plan'!P147,0)),0),0)</f>
        <v>0</v>
      </c>
      <c r="H228" s="347">
        <f ca="1">ROUNDUP(IF(H160&gt;0,IF(SUM(E227:H227,E228:G228)*'B. Implementation Plan'!P147&gt;P227,0,-ROUND(SUM(E227:H227,E228:G228)*'B. Implementation Plan'!P147,0)),0),0)</f>
        <v>0</v>
      </c>
      <c r="I228" s="347">
        <f ca="1">ROUNDUP(IF(I160&gt;0,IF(SUM(E227:I227,E228:H228)*'B. Implementation Plan'!P147&gt;P227,0,-ROUND(SUM(E227:I227,E228:H228)*'B. Implementation Plan'!P147,0)),0),0)</f>
        <v>0</v>
      </c>
      <c r="J228" s="347">
        <f ca="1">ROUNDUP(IF(J160&gt;0,IF(SUM(E227:J227,E228:I228)*'B. Implementation Plan'!P147&gt;P227,0,-ROUND(SUM(E227:J227,E228:I228)*'B. Implementation Plan'!P147,0)),0),0)</f>
        <v>0</v>
      </c>
      <c r="K228" s="347">
        <f ca="1">ROUNDUP(IF(K160&gt;0,IF(SUM(E227:K227,E228:J228)*'B. Implementation Plan'!P147&gt;P227,0,-ROUND(SUM(E227:K227,E228:J228)*'B. Implementation Plan'!P147,0)),0),0)</f>
        <v>0</v>
      </c>
      <c r="L228" s="347">
        <f ca="1">ROUNDUP(IF(L160&gt;0,IF(SUM(E227:L227,E228:K228)*'B. Implementation Plan'!P147&gt;P227,0,-ROUND(SUM(E227:L227,E228:K228)*'B. Implementation Plan'!P147,0)),0),0)</f>
        <v>0</v>
      </c>
      <c r="M228" s="347">
        <f ca="1">ROUNDUP(IF(M160&gt;0,IF(SUM(E227:M227,E228:L228)*'B. Implementation Plan'!P147&gt;P227,0,-ROUND(SUM(E227:M227,E228:L228)*'B. Implementation Plan'!P147,0)),0),0)</f>
        <v>0</v>
      </c>
      <c r="N228" s="347">
        <f ca="1">ROUNDUP(IF(N160&gt;0,IF(SUM(E227:N227,E228:M228)*'B. Implementation Plan'!P147&gt;P227,0,-ROUND(SUM(E227:N227,E228:M228)*'B. Implementation Plan'!P147,0)),0),0)</f>
        <v>0</v>
      </c>
      <c r="O228" s="347">
        <f ca="1">ROUNDUP(IF(O160&gt;0,IF(SUM(E227:O227,E228:N228)*'B. Implementation Plan'!P147&gt;P227,0,-ROUND(SUM(E227:O227,E228:N228)*'B. Implementation Plan'!P147,0)),0),0)</f>
        <v>0</v>
      </c>
      <c r="P228" s="354">
        <f ca="1">SUM(E228:O228)</f>
        <v>0</v>
      </c>
    </row>
    <row r="229" spans="1:16" s="365" customFormat="1" ht="15" thickBot="1" x14ac:dyDescent="0.35">
      <c r="C229" s="326" t="s">
        <v>471</v>
      </c>
      <c r="E229"/>
      <c r="F229" s="347">
        <f ca="1">IF(F160&gt;0,SUM(E227:F228),0)</f>
        <v>0</v>
      </c>
      <c r="G229" s="347">
        <f ca="1">IF(G160&gt;0,SUM(E227:G228),0)</f>
        <v>0</v>
      </c>
      <c r="H229" s="347">
        <f ca="1">IF(H160&gt;0,SUM(E227:H228),0)</f>
        <v>0</v>
      </c>
      <c r="I229" s="347">
        <f ca="1">IF(I160&gt;0,SUM(E227:I228),0)</f>
        <v>0</v>
      </c>
      <c r="J229" s="347">
        <f ca="1">IF(J160&gt;0,SUM(E227:J228),0)</f>
        <v>0</v>
      </c>
      <c r="K229" s="347">
        <f ca="1">IF(K160&gt;0,SUM(E227:K228),0)</f>
        <v>0</v>
      </c>
      <c r="L229" s="347">
        <f ca="1">IF(L160&gt;0,SUM(E227:L228),0)</f>
        <v>0</v>
      </c>
      <c r="M229" s="347">
        <f ca="1">IF(M160&gt;0,SUM(E227:M228),0)</f>
        <v>0</v>
      </c>
      <c r="N229" s="347">
        <f ca="1">IF(N160&gt;0,SUM(E227:N228),0)</f>
        <v>0</v>
      </c>
      <c r="O229" s="369">
        <f ca="1">IF(O160&gt;0,SUM(E227:O228),0)</f>
        <v>0</v>
      </c>
      <c r="P229" s="375">
        <f t="shared" ref="P229" ca="1" si="272">IF(O229=0,IF(N229=0,IF(M229=0,IF(L229=0,IF(K229=0,IF(J229=0,IF(I229=0,IF(H229=0,IF(G229=0,IF(F229=0,E229,F229),G229),H229),I229),J229),K229),L229),M229),N229),O229)</f>
        <v>0</v>
      </c>
    </row>
    <row r="230" spans="1:16" ht="16.2" thickBot="1" x14ac:dyDescent="0.35">
      <c r="C230" s="16" t="s">
        <v>479</v>
      </c>
      <c r="E230" s="149">
        <v>0</v>
      </c>
      <c r="F230" s="149">
        <v>1</v>
      </c>
      <c r="G230" s="149">
        <v>2</v>
      </c>
      <c r="H230" s="149">
        <v>3</v>
      </c>
      <c r="I230" s="149">
        <v>4</v>
      </c>
      <c r="J230" s="149">
        <v>5</v>
      </c>
      <c r="K230" s="149">
        <v>6</v>
      </c>
      <c r="L230" s="149">
        <v>7</v>
      </c>
      <c r="M230" s="149">
        <v>8</v>
      </c>
      <c r="N230" s="149">
        <v>9</v>
      </c>
      <c r="O230" s="149">
        <v>10</v>
      </c>
      <c r="P230"/>
    </row>
    <row r="231" spans="1:16" s="1" customFormat="1" x14ac:dyDescent="0.3">
      <c r="C231" s="326" t="s">
        <v>483</v>
      </c>
      <c r="E231" s="372">
        <f ca="1">ROUNDUP(E162*'B. Implementation Plan'!E134+(E160-E162)*'B. Implementation Plan'!P149,0)</f>
        <v>0</v>
      </c>
      <c r="F231" s="372">
        <f ca="1">ROUNDUP(F162*'B. Implementation Plan'!E134+(F160-F162)*'B. Implementation Plan'!P149,0)</f>
        <v>0</v>
      </c>
      <c r="G231" s="372">
        <f ca="1">ROUNDUP(G162*'B. Implementation Plan'!E134+(G160-G162)*'B. Implementation Plan'!P149,0)</f>
        <v>0</v>
      </c>
      <c r="H231" s="372">
        <f ca="1">ROUNDUP(H162*'B. Implementation Plan'!E134+(H160-H162)*'B. Implementation Plan'!P149,0)</f>
        <v>0</v>
      </c>
      <c r="I231" s="372">
        <f ca="1">ROUNDUP(I162*'B. Implementation Plan'!E134+(I160-I162)*'B. Implementation Plan'!P149,0)</f>
        <v>0</v>
      </c>
      <c r="J231" s="372">
        <f ca="1">ROUNDUP(J162*'B. Implementation Plan'!E134+(J160-J162)*'B. Implementation Plan'!P149,0)</f>
        <v>0</v>
      </c>
      <c r="K231" s="372">
        <f ca="1">ROUNDUP(K162*'B. Implementation Plan'!E134+(K160-K162)*'B. Implementation Plan'!P149,0)</f>
        <v>0</v>
      </c>
      <c r="L231" s="372">
        <f ca="1">ROUNDUP(L162*'B. Implementation Plan'!E134+(L160-L162)*'B. Implementation Plan'!P149,0)</f>
        <v>0</v>
      </c>
      <c r="M231" s="372">
        <f ca="1">ROUNDUP(M162*'B. Implementation Plan'!E134+(M160-M162)*'B. Implementation Plan'!P149,0)</f>
        <v>0</v>
      </c>
      <c r="N231" s="372">
        <f ca="1">ROUNDUP(N162*'B. Implementation Plan'!E134+(N160-N162)*'B. Implementation Plan'!P149,0)</f>
        <v>0</v>
      </c>
      <c r="O231" s="372">
        <f ca="1">ROUNDUP(O162*'B. Implementation Plan'!E134+(O160-O162)*'B. Implementation Plan'!P149,0)</f>
        <v>0</v>
      </c>
      <c r="P231" s="379">
        <f t="shared" ref="P231:P235" ca="1" si="273">IF(O231=0,IF(N231=0,IF(M231=0,IF(L231=0,IF(K231=0,IF(J231=0,IF(I231=0,IF(H231=0,IF(G231=0,IF(F231=0,E231,F231),G231),H231),I231),J231),K231),L231),M231),N231),O231)</f>
        <v>0</v>
      </c>
    </row>
    <row r="232" spans="1:16" s="1" customFormat="1" x14ac:dyDescent="0.3">
      <c r="C232" s="326" t="s">
        <v>477</v>
      </c>
      <c r="E232" s="378">
        <f t="shared" ref="E232:O232" ca="1" si="274">IF(E160&gt;0,E231/E160,0)</f>
        <v>0</v>
      </c>
      <c r="F232" s="378">
        <f t="shared" ca="1" si="274"/>
        <v>0</v>
      </c>
      <c r="G232" s="378">
        <f t="shared" ca="1" si="274"/>
        <v>0</v>
      </c>
      <c r="H232" s="378">
        <f t="shared" ca="1" si="274"/>
        <v>0</v>
      </c>
      <c r="I232" s="378">
        <f t="shared" ca="1" si="274"/>
        <v>0</v>
      </c>
      <c r="J232" s="378">
        <f t="shared" ca="1" si="274"/>
        <v>0</v>
      </c>
      <c r="K232" s="378">
        <f t="shared" ca="1" si="274"/>
        <v>0</v>
      </c>
      <c r="L232" s="378">
        <f t="shared" ca="1" si="274"/>
        <v>0</v>
      </c>
      <c r="M232" s="378">
        <f t="shared" ca="1" si="274"/>
        <v>0</v>
      </c>
      <c r="N232" s="378">
        <f t="shared" ca="1" si="274"/>
        <v>0</v>
      </c>
      <c r="O232" s="378">
        <f t="shared" ca="1" si="274"/>
        <v>0</v>
      </c>
      <c r="P232" s="111">
        <f t="shared" ca="1" si="273"/>
        <v>0</v>
      </c>
    </row>
    <row r="233" spans="1:16" s="365" customFormat="1" x14ac:dyDescent="0.3">
      <c r="C233" s="326" t="s">
        <v>484</v>
      </c>
      <c r="F233" s="372">
        <f ca="1">F178+F194+F210+F226</f>
        <v>0</v>
      </c>
      <c r="G233" s="372">
        <f t="shared" ref="G233:O233" ca="1" si="275">G178+G194+G210+G226</f>
        <v>0</v>
      </c>
      <c r="H233" s="372">
        <f t="shared" ca="1" si="275"/>
        <v>0</v>
      </c>
      <c r="I233" s="372">
        <f t="shared" ca="1" si="275"/>
        <v>0</v>
      </c>
      <c r="J233" s="372">
        <f t="shared" ca="1" si="275"/>
        <v>0</v>
      </c>
      <c r="K233" s="372">
        <f t="shared" ca="1" si="275"/>
        <v>0</v>
      </c>
      <c r="L233" s="372">
        <f t="shared" ca="1" si="275"/>
        <v>0</v>
      </c>
      <c r="M233" s="372">
        <f t="shared" ca="1" si="275"/>
        <v>0</v>
      </c>
      <c r="N233" s="372">
        <f t="shared" ca="1" si="275"/>
        <v>0</v>
      </c>
      <c r="O233" s="372">
        <f t="shared" ca="1" si="275"/>
        <v>0</v>
      </c>
      <c r="P233" s="354">
        <f ca="1">MAX(F233:O233)</f>
        <v>0</v>
      </c>
    </row>
    <row r="234" spans="1:16" s="1" customFormat="1" x14ac:dyDescent="0.3">
      <c r="C234" s="326" t="s">
        <v>543</v>
      </c>
      <c r="F234" s="371">
        <f ca="1">F181+F197+F213+F229</f>
        <v>0</v>
      </c>
      <c r="G234" s="371">
        <f t="shared" ref="G234:O234" ca="1" si="276">G181+G197+G213+G229</f>
        <v>0</v>
      </c>
      <c r="H234" s="371">
        <f t="shared" ca="1" si="276"/>
        <v>0</v>
      </c>
      <c r="I234" s="371">
        <f t="shared" ca="1" si="276"/>
        <v>0</v>
      </c>
      <c r="J234" s="371">
        <f t="shared" ca="1" si="276"/>
        <v>0</v>
      </c>
      <c r="K234" s="371">
        <f t="shared" ca="1" si="276"/>
        <v>0</v>
      </c>
      <c r="L234" s="371">
        <f t="shared" ca="1" si="276"/>
        <v>0</v>
      </c>
      <c r="M234" s="371">
        <f t="shared" ca="1" si="276"/>
        <v>0</v>
      </c>
      <c r="N234" s="371">
        <f t="shared" ca="1" si="276"/>
        <v>0</v>
      </c>
      <c r="O234" s="371">
        <f t="shared" ca="1" si="276"/>
        <v>0</v>
      </c>
      <c r="P234" s="354">
        <f t="shared" ca="1" si="273"/>
        <v>0</v>
      </c>
    </row>
    <row r="235" spans="1:16" s="1" customFormat="1" ht="15" thickBot="1" x14ac:dyDescent="0.35">
      <c r="C235" s="353" t="s">
        <v>526</v>
      </c>
      <c r="E235" s="373">
        <f t="shared" ref="E235:O235" ca="1" si="277">IFERROR((E231+E234)/E160,0)</f>
        <v>0</v>
      </c>
      <c r="F235" s="373">
        <f t="shared" ca="1" si="277"/>
        <v>0</v>
      </c>
      <c r="G235" s="373">
        <f t="shared" ca="1" si="277"/>
        <v>0</v>
      </c>
      <c r="H235" s="373">
        <f t="shared" ca="1" si="277"/>
        <v>0</v>
      </c>
      <c r="I235" s="373">
        <f t="shared" ca="1" si="277"/>
        <v>0</v>
      </c>
      <c r="J235" s="373">
        <f t="shared" ca="1" si="277"/>
        <v>0</v>
      </c>
      <c r="K235" s="373">
        <f t="shared" ca="1" si="277"/>
        <v>0</v>
      </c>
      <c r="L235" s="373">
        <f t="shared" ca="1" si="277"/>
        <v>0</v>
      </c>
      <c r="M235" s="373">
        <f t="shared" ca="1" si="277"/>
        <v>0</v>
      </c>
      <c r="N235" s="373">
        <f t="shared" ca="1" si="277"/>
        <v>0</v>
      </c>
      <c r="O235" s="373">
        <f t="shared" ca="1" si="277"/>
        <v>0</v>
      </c>
      <c r="P235" s="190">
        <f t="shared" ca="1" si="273"/>
        <v>0</v>
      </c>
    </row>
    <row r="236" spans="1:16" x14ac:dyDescent="0.3">
      <c r="P236"/>
    </row>
    <row r="237" spans="1:16" ht="15" thickBot="1" x14ac:dyDescent="0.35">
      <c r="P237"/>
    </row>
    <row r="238" spans="1:16" s="67" customFormat="1" ht="15.6" x14ac:dyDescent="0.3">
      <c r="A238" s="62"/>
      <c r="B238" s="62" t="s">
        <v>531</v>
      </c>
      <c r="D238" s="65"/>
      <c r="E238" s="66">
        <v>0</v>
      </c>
      <c r="F238" s="66">
        <v>1</v>
      </c>
      <c r="G238" s="66">
        <v>2</v>
      </c>
      <c r="H238" s="66">
        <v>3</v>
      </c>
      <c r="I238" s="66">
        <v>4</v>
      </c>
      <c r="J238" s="66">
        <v>5</v>
      </c>
      <c r="K238" s="66">
        <v>6</v>
      </c>
      <c r="L238" s="66">
        <v>7</v>
      </c>
      <c r="M238" s="66">
        <v>8</v>
      </c>
      <c r="N238" s="66">
        <v>9</v>
      </c>
      <c r="O238" s="213">
        <v>10</v>
      </c>
      <c r="P238" s="351" t="s">
        <v>2</v>
      </c>
    </row>
    <row r="239" spans="1:16" x14ac:dyDescent="0.3">
      <c r="A239" s="1"/>
      <c r="B239" s="1"/>
      <c r="C239" s="326" t="s">
        <v>457</v>
      </c>
      <c r="D239" s="368"/>
      <c r="E239" s="15">
        <f ca="1">E103</f>
        <v>620</v>
      </c>
      <c r="F239" s="15">
        <f t="shared" ref="F239:O239" ca="1" si="278">F103</f>
        <v>635</v>
      </c>
      <c r="G239" s="15">
        <f t="shared" ca="1" si="278"/>
        <v>651</v>
      </c>
      <c r="H239" s="15">
        <f t="shared" ca="1" si="278"/>
        <v>666</v>
      </c>
      <c r="I239" s="15">
        <f t="shared" ca="1" si="278"/>
        <v>682</v>
      </c>
      <c r="J239" s="15">
        <f t="shared" ca="1" si="278"/>
        <v>698</v>
      </c>
      <c r="K239" s="15">
        <f t="shared" ca="1" si="278"/>
        <v>713</v>
      </c>
      <c r="L239" s="15">
        <f t="shared" ca="1" si="278"/>
        <v>729</v>
      </c>
      <c r="M239" s="15">
        <f t="shared" ca="1" si="278"/>
        <v>745</v>
      </c>
      <c r="N239" s="15">
        <f t="shared" ca="1" si="278"/>
        <v>760</v>
      </c>
      <c r="O239" s="15">
        <f t="shared" ca="1" si="278"/>
        <v>776</v>
      </c>
      <c r="P239" s="78">
        <f ca="1">IF(O239=0,IF(N239=0,IF(M239=0,IF(L239=0,IF(K239=0,IF(J239=0,IF(I239=0,IF(H239=0,IF(G239=0,IF(F239=0,E239,F239),G239),H239),I239),J239),K239),L239),M239),N239),O239)</f>
        <v>776</v>
      </c>
    </row>
    <row r="240" spans="1:16" x14ac:dyDescent="0.3">
      <c r="A240" s="1"/>
      <c r="B240" s="1"/>
      <c r="C240" s="326" t="s">
        <v>459</v>
      </c>
      <c r="D240" s="296"/>
      <c r="E240" s="15">
        <f ca="1">IF(E239&gt;0,'B. Implementation Plan'!F133,0)</f>
        <v>620</v>
      </c>
      <c r="F240" s="15">
        <f ca="1">IF(F239&gt;0,'B. Implementation Plan'!F133,0)</f>
        <v>620</v>
      </c>
      <c r="G240" s="15">
        <f ca="1">IF(G239&gt;0,'B. Implementation Plan'!F133,0)</f>
        <v>620</v>
      </c>
      <c r="H240" s="15">
        <f ca="1">IF(H239&gt;0,'B. Implementation Plan'!F133,0)</f>
        <v>620</v>
      </c>
      <c r="I240" s="15">
        <f ca="1">IF(I239&gt;0,'B. Implementation Plan'!F133,0)</f>
        <v>620</v>
      </c>
      <c r="J240" s="15">
        <f ca="1">IF(J239&gt;0,'B. Implementation Plan'!F133,0)</f>
        <v>620</v>
      </c>
      <c r="K240" s="15">
        <f ca="1">IF(K239&gt;0,'B. Implementation Plan'!F133,0)</f>
        <v>620</v>
      </c>
      <c r="L240" s="15">
        <f ca="1">IF(L239&gt;0,'B. Implementation Plan'!F133,0)</f>
        <v>620</v>
      </c>
      <c r="M240" s="15">
        <f ca="1">IF(M239&gt;0,'B. Implementation Plan'!F133,0)</f>
        <v>620</v>
      </c>
      <c r="N240" s="15">
        <f ca="1">IF(N239&gt;0,'B. Implementation Plan'!F133,0)</f>
        <v>620</v>
      </c>
      <c r="O240" s="15">
        <f ca="1">IF(O239&gt;0,'B. Implementation Plan'!F133,0)</f>
        <v>620</v>
      </c>
      <c r="P240" s="78">
        <f ca="1">IF(O240=0,IF(N240=0,IF(M240=0,IF(L240=0,IF(K240=0,IF(J240=0,IF(I240=0,IF(H240=0,IF(G240=0,IF(F240=0,E240,F240),G240),H240),I240),J240),K240),L240),M240),N240),O240)</f>
        <v>620</v>
      </c>
    </row>
    <row r="241" spans="3:16" x14ac:dyDescent="0.3">
      <c r="C241" s="59" t="s">
        <v>460</v>
      </c>
      <c r="E241" s="324">
        <f ca="1">IF(E239&gt;0,ROUND('B. Implementation Plan'!F133*(1-'B. Implementation Plan'!P147)^E238,0),0)</f>
        <v>620</v>
      </c>
      <c r="F241" s="324">
        <f ca="1">IF(F239&gt;0,ROUND('B. Implementation Plan'!F133*(1-'B. Implementation Plan'!P147)^F238,0),0)</f>
        <v>527</v>
      </c>
      <c r="G241" s="324">
        <f ca="1">IF(G239&gt;0,ROUND('B. Implementation Plan'!F133*(1-'B. Implementation Plan'!P147)^G238,0),0)</f>
        <v>448</v>
      </c>
      <c r="H241" s="324">
        <f ca="1">IF(H239&gt;0,ROUND('B. Implementation Plan'!F133*(1-'B. Implementation Plan'!P147)^H238,0),0)</f>
        <v>381</v>
      </c>
      <c r="I241" s="324">
        <f ca="1">IF(I239&gt;0,ROUND('B. Implementation Plan'!F133*(1-'B. Implementation Plan'!P147)^I238,0),0)</f>
        <v>324</v>
      </c>
      <c r="J241" s="324">
        <f ca="1">IF(J239&gt;0,ROUND('B. Implementation Plan'!F133*(1-'B. Implementation Plan'!P147)^J238,0),0)</f>
        <v>275</v>
      </c>
      <c r="K241" s="324">
        <f ca="1">IF(K239&gt;0,ROUND('B. Implementation Plan'!F133*(1-'B. Implementation Plan'!P147)^K238,0),0)</f>
        <v>234</v>
      </c>
      <c r="L241" s="324">
        <f ca="1">IF(L239&gt;0,ROUND('B. Implementation Plan'!F133*(1-'B. Implementation Plan'!P147)^L238,0),0)</f>
        <v>199</v>
      </c>
      <c r="M241" s="324">
        <f ca="1">IF(M239&gt;0,ROUND('B. Implementation Plan'!F133*(1-'B. Implementation Plan'!P147)^M238,0),0)</f>
        <v>169</v>
      </c>
      <c r="N241" s="324">
        <f ca="1">IF(N239&gt;0,ROUND('B. Implementation Plan'!F133*(1-'B. Implementation Plan'!P147)^N238,0),0)</f>
        <v>144</v>
      </c>
      <c r="O241" s="324">
        <f ca="1">IF(O239&gt;0,ROUND('B. Implementation Plan'!F133*(1-'B. Implementation Plan'!P147)^O238,0),0)</f>
        <v>122</v>
      </c>
      <c r="P241" s="78">
        <f ca="1">IF(O241=0,IF(N241=0,IF(M241=0,IF(L241=0,IF(K241=0,IF(J241=0,IF(I241=0,IF(H241=0,IF(G241=0,IF(F241=0,E241,F241),G241),H241),I241),J241),K241),L241),M241),N241),O241)</f>
        <v>122</v>
      </c>
    </row>
    <row r="242" spans="3:16" s="1" customFormat="1" x14ac:dyDescent="0.3">
      <c r="C242" s="59" t="s">
        <v>480</v>
      </c>
      <c r="E242" s="380"/>
      <c r="F242" s="324">
        <f>IF('B. Implementation Plan'!P148=0,0,IF(F238&lt;=ROUNDUP(1/'B. Implementation Plan'!P148,0),ROUND(IF(AND(F238-1/'B. Implementation Plan'!P148&lt;1,F238-1/'B. Implementation Plan'!P148&gt;0),F241*MOD(1/'B. Implementation Plan'!P148,1)/(1/'B. Implementation Plan'!P148),MIN(F241-SUM(E242:E242),F241*'B. Implementation Plan'!P148)*(1-'B. Implementation Plan'!F134)*'B. Implementation Plan'!F140),0),0))</f>
        <v>0</v>
      </c>
      <c r="G242" s="324">
        <f>IF('B. Implementation Plan'!P148=0,0,IF(G238&lt;=ROUNDUP(1/'B. Implementation Plan'!P148,0),ROUND(IF(AND(G238-1/'B. Implementation Plan'!P148&lt;1,G238-1/'B. Implementation Plan'!P148&gt;0),G241*MOD(1/'B. Implementation Plan'!P148,1)/(1/'B. Implementation Plan'!P148),MIN(G241-SUM(E242:F242),G241*'B. Implementation Plan'!P148)*(1-'B. Implementation Plan'!F134)*'B. Implementation Plan'!F140),0),0))</f>
        <v>0</v>
      </c>
      <c r="H242" s="324">
        <f>IF('B. Implementation Plan'!P148=0,0,IF(H238&lt;=ROUNDUP(1/'B. Implementation Plan'!P148,0),ROUND(IF(AND(H238-1/'B. Implementation Plan'!P148&lt;1,H238-1/'B. Implementation Plan'!P148&gt;0),H241*MOD(1/'B. Implementation Plan'!P148,1)/(1/'B. Implementation Plan'!P148),MIN(H241-SUM(E242:G242),H241*'B. Implementation Plan'!P148)*(1-'B. Implementation Plan'!F134)*'B. Implementation Plan'!F140),0),0))</f>
        <v>0</v>
      </c>
      <c r="I242" s="324">
        <f>IF('B. Implementation Plan'!P148=0,0,IF(I238&lt;=ROUNDUP(1/'B. Implementation Plan'!P148,0),ROUND(IF(AND(I238-1/'B. Implementation Plan'!P148&lt;1,I238-1/'B. Implementation Plan'!P148&gt;0),I241*MOD(1/'B. Implementation Plan'!P148,1)/(1/'B. Implementation Plan'!P148),MIN(I241-SUM(E242:H242),I241*'B. Implementation Plan'!P148)*(1-'B. Implementation Plan'!F134)*'B. Implementation Plan'!F140),0),0))</f>
        <v>0</v>
      </c>
      <c r="J242" s="324">
        <f>IF('B. Implementation Plan'!P148=0,0,IF(J238&lt;=ROUNDUP(1/'B. Implementation Plan'!P148,0),ROUND(IF(AND(J238-1/'B. Implementation Plan'!P148&lt;1,J238-1/'B. Implementation Plan'!P148&gt;0),J241*MOD(1/'B. Implementation Plan'!P148,1)/(1/'B. Implementation Plan'!P148),MIN(J241-SUM(E242:I242),J241*'B. Implementation Plan'!P148)*(1-'B. Implementation Plan'!F134)*'B. Implementation Plan'!F140),0),0))</f>
        <v>0</v>
      </c>
      <c r="K242" s="324">
        <f>IF('B. Implementation Plan'!P148=0,0,IF(K238&lt;=ROUNDUP(1/'B. Implementation Plan'!P148,0),ROUND(IF(AND(K238-1/'B. Implementation Plan'!P148&lt;1,K238-1/'B. Implementation Plan'!P148&gt;0),K241*MOD(1/'B. Implementation Plan'!P148,1)/(1/'B. Implementation Plan'!P148),MIN(K241-SUM(E242:J242),K241*'B. Implementation Plan'!P148)*(1-'B. Implementation Plan'!F134)*'B. Implementation Plan'!F140),0),0))</f>
        <v>0</v>
      </c>
      <c r="L242" s="324">
        <f>IF('B. Implementation Plan'!P148=0,0,IF(L238&lt;=ROUNDUP(1/'B. Implementation Plan'!P148,0),ROUND(IF(AND(L238-1/'B. Implementation Plan'!P148&lt;1,L238-1/'B. Implementation Plan'!P148&gt;0),L241*MOD(1/'B. Implementation Plan'!P148,1)/(1/'B. Implementation Plan'!P148),MIN(L241-SUM(E242:K242),L241*'B. Implementation Plan'!P148)*(1-'B. Implementation Plan'!F134)*'B. Implementation Plan'!F140),0),0))</f>
        <v>0</v>
      </c>
      <c r="M242" s="324">
        <f>IF('B. Implementation Plan'!P148=0,0,IF(M238&lt;=ROUNDUP(1/'B. Implementation Plan'!P148,0),ROUND(IF(AND(M238-1/'B. Implementation Plan'!P148&lt;1,M238-1/'B. Implementation Plan'!P148&gt;0),M241*MOD(1/'B. Implementation Plan'!P148,1)/(1/'B. Implementation Plan'!P148),MIN(M241-SUM(E242:L242),M241*'B. Implementation Plan'!P148)*(1-'B. Implementation Plan'!F134)*'B. Implementation Plan'!F140),0),0))</f>
        <v>0</v>
      </c>
      <c r="N242" s="324">
        <f>IF('B. Implementation Plan'!P148=0,0,IF(N238&lt;=ROUNDUP(1/'B. Implementation Plan'!P148,0),ROUND(IF(AND(N238-1/'B. Implementation Plan'!P148&lt;1,N238-1/'B. Implementation Plan'!P148&gt;0),N241*MOD(1/'B. Implementation Plan'!P148,1)/(1/'B. Implementation Plan'!P148),MIN(N241-SUM(E242:M242),N241*'B. Implementation Plan'!P148)*(1-'B. Implementation Plan'!F134)*'B. Implementation Plan'!F140),0),0))</f>
        <v>0</v>
      </c>
      <c r="O242" s="324">
        <f>IF('B. Implementation Plan'!P148=0,0,IF(O238&lt;=ROUNDUP(1/'B. Implementation Plan'!P148,0),ROUND(IF(AND(O238-1/'B. Implementation Plan'!P148&lt;1,O238-1/'B. Implementation Plan'!P148&gt;0),O241*MOD(1/'B. Implementation Plan'!P148,1)/(1/'B. Implementation Plan'!P148),MIN(O241-SUM(E242:N242),O241*'B. Implementation Plan'!P148)*(1-'B. Implementation Plan'!F134)*'B. Implementation Plan'!F140),0),0))</f>
        <v>0</v>
      </c>
      <c r="P242" s="325">
        <f>SUM(E242:O242)</f>
        <v>0</v>
      </c>
    </row>
    <row r="243" spans="3:16" x14ac:dyDescent="0.3">
      <c r="C243" s="326" t="s">
        <v>458</v>
      </c>
      <c r="E243" s="15">
        <f t="shared" ref="E243:O243" ca="1" si="279">MAX(E239-E241,0)</f>
        <v>0</v>
      </c>
      <c r="F243" s="15">
        <f t="shared" ca="1" si="279"/>
        <v>108</v>
      </c>
      <c r="G243" s="15">
        <f t="shared" ca="1" si="279"/>
        <v>203</v>
      </c>
      <c r="H243" s="15">
        <f t="shared" ca="1" si="279"/>
        <v>285</v>
      </c>
      <c r="I243" s="15">
        <f t="shared" ca="1" si="279"/>
        <v>358</v>
      </c>
      <c r="J243" s="15">
        <f t="shared" ca="1" si="279"/>
        <v>423</v>
      </c>
      <c r="K243" s="15">
        <f t="shared" ca="1" si="279"/>
        <v>479</v>
      </c>
      <c r="L243" s="15">
        <f t="shared" ca="1" si="279"/>
        <v>530</v>
      </c>
      <c r="M243" s="15">
        <f t="shared" ca="1" si="279"/>
        <v>576</v>
      </c>
      <c r="N243" s="15">
        <f t="shared" ca="1" si="279"/>
        <v>616</v>
      </c>
      <c r="O243" s="366">
        <f t="shared" ca="1" si="279"/>
        <v>654</v>
      </c>
      <c r="P243" s="354">
        <f ca="1">IF(O243=0,IF(N243=0,IF(M243=0,IF(L243=0,IF(K243=0,IF(J243=0,IF(I243=0,IF(H243=0,IF(G243=0,IF(F243=0,E243,F243),G243),H243),I243),J243),K243),L243),M243),N243),O243)</f>
        <v>654</v>
      </c>
    </row>
    <row r="244" spans="3:16" ht="15" thickBot="1" x14ac:dyDescent="0.35">
      <c r="C244" s="59" t="s">
        <v>461</v>
      </c>
      <c r="E244" s="324">
        <f ca="1">IF(E239&gt;0,E243-D243+ROUND(D243*'B. Implementation Plan'!P147,0),0)</f>
        <v>0</v>
      </c>
      <c r="F244" s="324">
        <f ca="1">IF(F239&gt;0,F243-E243+ROUND(E243*'B. Implementation Plan'!P147,0),0)</f>
        <v>108</v>
      </c>
      <c r="G244" s="324">
        <f ca="1">IF(G239&gt;0,G243-F243+ROUND(F243*'B. Implementation Plan'!P147,0),0)</f>
        <v>111</v>
      </c>
      <c r="H244" s="324">
        <f ca="1">IF(H239&gt;0,H243-G243+ROUND(G243*'B. Implementation Plan'!P147,0),0)</f>
        <v>112</v>
      </c>
      <c r="I244" s="324">
        <f ca="1">IF(I239&gt;0,I243-H243+ROUND(H243*'B. Implementation Plan'!P147,0),0)</f>
        <v>116</v>
      </c>
      <c r="J244" s="324">
        <f ca="1">IF(J239&gt;0,J243-I243+ROUND(I243*'B. Implementation Plan'!P147,0),0)</f>
        <v>119</v>
      </c>
      <c r="K244" s="324">
        <f ca="1">IF(K239&gt;0,K243-J243+ROUND(J243*'B. Implementation Plan'!P147,0),0)</f>
        <v>119</v>
      </c>
      <c r="L244" s="324">
        <f ca="1">IF(L239&gt;0,L243-K243+ROUND(K243*'B. Implementation Plan'!P147,0),0)</f>
        <v>123</v>
      </c>
      <c r="M244" s="324">
        <f ca="1">IF(M239&gt;0,M243-L243+ROUND(L243*'B. Implementation Plan'!P147,0),0)</f>
        <v>126</v>
      </c>
      <c r="N244" s="324">
        <f ca="1">IF(N239&gt;0,N243-M243+ROUND(M243*'B. Implementation Plan'!P147,0),0)</f>
        <v>126</v>
      </c>
      <c r="O244" s="367">
        <f ca="1">IF(O239&gt;0,O243-N243+ROUND(N243*'B. Implementation Plan'!P147,0),0)</f>
        <v>130</v>
      </c>
      <c r="P244" s="79">
        <f ca="1">IF(O244=0,IF(N244=0,IF(M244=0,IF(L244=0,IF(K244=0,IF(J244=0,IF(I244=0,IF(H244=0,IF(G244=0,IF(F244=0,E244,F244),G244),H244),I244),J244),K244),L244),M244),N244),O244)</f>
        <v>130</v>
      </c>
    </row>
    <row r="245" spans="3:16" ht="15" thickBot="1" x14ac:dyDescent="0.35">
      <c r="C245" s="59" t="s">
        <v>474</v>
      </c>
    </row>
    <row r="246" spans="3:16" ht="15.6" x14ac:dyDescent="0.3">
      <c r="C246" s="326" t="s">
        <v>481</v>
      </c>
      <c r="F246" s="149">
        <v>1</v>
      </c>
      <c r="G246" s="149">
        <v>2</v>
      </c>
      <c r="H246" s="149">
        <v>3</v>
      </c>
      <c r="I246" s="149">
        <v>4</v>
      </c>
      <c r="J246" s="149">
        <v>5</v>
      </c>
      <c r="K246" s="149">
        <v>6</v>
      </c>
      <c r="L246" s="149">
        <v>7</v>
      </c>
      <c r="M246" s="149">
        <v>8</v>
      </c>
      <c r="N246" s="149">
        <v>9</v>
      </c>
      <c r="O246" s="374">
        <v>10</v>
      </c>
      <c r="P246" s="351" t="s">
        <v>2</v>
      </c>
    </row>
    <row r="247" spans="3:16" s="365" customFormat="1" x14ac:dyDescent="0.3">
      <c r="C247" s="370">
        <v>1</v>
      </c>
      <c r="E247"/>
      <c r="F247" s="347">
        <f>IF($C247&lt;=ROUNDUP('B. Implementation Plan'!P155,0),ROUND(IF(AND($C247-'B. Implementation Plan'!P155&lt;1,$C247-'B. Implementation Plan'!P155&gt;0),MOD('B. Implementation Plan'!P155,1)*F242*'B. Implementation Plan'!F142*(1-'B. Implementation Plan'!P147)^($C247-1),F242*'B. Implementation Plan'!F142*(1-'B. Implementation Plan'!P147)^($C247-1)),0),0)</f>
        <v>0</v>
      </c>
      <c r="G247" s="347">
        <f>IF($C247&lt;=ROUNDUP('B. Implementation Plan'!P155,0),ROUND(IF(AND($C247-'B. Implementation Plan'!P155&lt;1,$C247-'B. Implementation Plan'!P155&gt;0),MOD('B. Implementation Plan'!P155,1)*G242*'B. Implementation Plan'!F142*(1-'B. Implementation Plan'!P147)^($C247-1),G242*'B. Implementation Plan'!F142*(1-'B. Implementation Plan'!P147)^($C247-1)),0),0)</f>
        <v>0</v>
      </c>
      <c r="H247" s="347">
        <f>IF($C247&lt;=ROUNDUP('B. Implementation Plan'!P155,0),ROUND(IF(AND($C247-'B. Implementation Plan'!P155&lt;1,$C247-'B. Implementation Plan'!P155&gt;0),MOD('B. Implementation Plan'!P155,1)*H242*'B. Implementation Plan'!F142*(1-'B. Implementation Plan'!P147)^($C247-1),H242*'B. Implementation Plan'!F142*(1-'B. Implementation Plan'!P147)^($C247-1)),0),0)</f>
        <v>0</v>
      </c>
      <c r="I247" s="347">
        <f>IF($C247&lt;=ROUNDUP('B. Implementation Plan'!P155,0),ROUND(IF(AND($C247-'B. Implementation Plan'!P155&lt;1,$C247-'B. Implementation Plan'!P155&gt;0),MOD('B. Implementation Plan'!P155,1)*I242*'B. Implementation Plan'!F142*(1-'B. Implementation Plan'!P147)^($C247-1),I242*'B. Implementation Plan'!F142*(1-'B. Implementation Plan'!P147)^($C247-1)),0),0)</f>
        <v>0</v>
      </c>
      <c r="J247" s="347">
        <f>IF($C247&lt;=ROUNDUP('B. Implementation Plan'!P155,0),ROUND(IF(AND($C247-'B. Implementation Plan'!P155&lt;1,$C247-'B. Implementation Plan'!P155&gt;0),MOD('B. Implementation Plan'!P155,1)*J242*'B. Implementation Plan'!F142*(1-'B. Implementation Plan'!P147)^($C247-1),J242*'B. Implementation Plan'!F142*(1-'B. Implementation Plan'!P147)^($C247-1)),0),0)</f>
        <v>0</v>
      </c>
      <c r="K247" s="347">
        <f>IF($C247&lt;=ROUNDUP('B. Implementation Plan'!P155,0),ROUND(IF(AND($C247-'B. Implementation Plan'!P155&lt;1,$C247-'B. Implementation Plan'!P155&gt;0),MOD('B. Implementation Plan'!P155,1)*K242*'B. Implementation Plan'!F142*(1-'B. Implementation Plan'!P147)^($C247-1),K242*'B. Implementation Plan'!F142*(1-'B. Implementation Plan'!P147)^($C247-1)),0),0)</f>
        <v>0</v>
      </c>
      <c r="L247" s="347">
        <f>IF($C247&lt;=ROUNDUP('B. Implementation Plan'!P155,0),ROUND(IF(AND($C247-'B. Implementation Plan'!P155&lt;1,$C247-'B. Implementation Plan'!P155&gt;0),MOD('B. Implementation Plan'!P155,1)*L242*'B. Implementation Plan'!F142*(1-'B. Implementation Plan'!P147)^($C247-1),L242*'B. Implementation Plan'!F142*(1-'B. Implementation Plan'!P147)^($C247-1)),0),0)</f>
        <v>0</v>
      </c>
      <c r="M247" s="347">
        <f>IF($C247&lt;=ROUNDUP('B. Implementation Plan'!P155,0),ROUND(IF(AND($C247-'B. Implementation Plan'!P155&lt;1,$C247-'B. Implementation Plan'!P155&gt;0),MOD('B. Implementation Plan'!P155,1)*M242*'B. Implementation Plan'!F142*(1-'B. Implementation Plan'!P147)^($C247-1),M242*'B. Implementation Plan'!F142*(1-'B. Implementation Plan'!P147)^($C247-1)),0),0)</f>
        <v>0</v>
      </c>
      <c r="N247" s="347">
        <f>IF($C247&lt;=ROUNDUP('B. Implementation Plan'!P155,0),ROUND(IF(AND($C247-'B. Implementation Plan'!P155&lt;1,$C247-'B. Implementation Plan'!P155&gt;0),MOD('B. Implementation Plan'!P155,1)*N242*'B. Implementation Plan'!F142*(1-'B. Implementation Plan'!P147)^($C247-1),N242*'B. Implementation Plan'!F142*(1-'B. Implementation Plan'!P147)^($C247-1)),0),0)</f>
        <v>0</v>
      </c>
      <c r="O247" s="347">
        <f>IF($C247&lt;=ROUNDUP('B. Implementation Plan'!P155,0),ROUND(IF(AND($C247-'B. Implementation Plan'!P155&lt;1,$C247-'B. Implementation Plan'!P155&gt;0),MOD('B. Implementation Plan'!P155,1)*O242*'B. Implementation Plan'!F142*(1-'B. Implementation Plan'!P147)^($C247-1),O242*'B. Implementation Plan'!F142*(1-'B. Implementation Plan'!P147)^($C247-1)),0),0)</f>
        <v>0</v>
      </c>
      <c r="P247" s="78" t="str">
        <f>IF(SUM(F247:O247)&gt;0,SUM(F247:O247),"")</f>
        <v/>
      </c>
    </row>
    <row r="248" spans="3:16" s="365" customFormat="1" x14ac:dyDescent="0.3">
      <c r="C248" s="370">
        <v>2</v>
      </c>
      <c r="E248"/>
      <c r="F248"/>
      <c r="G248" s="347">
        <f>IF($C248&lt;=ROUNDUP('B. Implementation Plan'!P155,0),ROUND(IF(AND($C248-'B. Implementation Plan'!P155&lt;1,$C248-'B. Implementation Plan'!P155&gt;0),MOD('B. Implementation Plan'!P155,1)*F242*'B. Implementation Plan'!F142*(1-'B. Implementation Plan'!P147)^($C248-1),F242*'B. Implementation Plan'!F142*(1-'B. Implementation Plan'!P147)^($C248-1)),0),0)</f>
        <v>0</v>
      </c>
      <c r="H248" s="347">
        <f>IF($C248&lt;=ROUNDUP('B. Implementation Plan'!P155,0),ROUND(IF(AND($C248-'B. Implementation Plan'!P155&lt;1,$C248-'B. Implementation Plan'!P155&gt;0),MOD('B. Implementation Plan'!P155,1)*G242*'B. Implementation Plan'!F142*(1-'B. Implementation Plan'!P147)^($C248-1),G242*'B. Implementation Plan'!F142*(1-'B. Implementation Plan'!P147)^($C248-1)),0),0)</f>
        <v>0</v>
      </c>
      <c r="I248" s="347">
        <f>IF($C248&lt;=ROUNDUP('B. Implementation Plan'!P155,0),ROUND(IF(AND($C248-'B. Implementation Plan'!P155&lt;1,$C248-'B. Implementation Plan'!P155&gt;0),MOD('B. Implementation Plan'!P155,1)*H242*'B. Implementation Plan'!F142*(1-'B. Implementation Plan'!P147)^($C248-1),H242*'B. Implementation Plan'!F142*(1-'B. Implementation Plan'!P147)^($C248-1)),0),0)</f>
        <v>0</v>
      </c>
      <c r="J248" s="347">
        <f>IF($C248&lt;=ROUNDUP('B. Implementation Plan'!P155,0),ROUND(IF(AND($C248-'B. Implementation Plan'!P155&lt;1,$C248-'B. Implementation Plan'!P155&gt;0),MOD('B. Implementation Plan'!P155,1)*I242*'B. Implementation Plan'!F142*(1-'B. Implementation Plan'!P147)^($C248-1),I242*'B. Implementation Plan'!F142*(1-'B. Implementation Plan'!P147)^($C248-1)),0),0)</f>
        <v>0</v>
      </c>
      <c r="K248" s="347">
        <f>IF($C248&lt;=ROUNDUP('B. Implementation Plan'!P155,0),ROUND(IF(AND($C248-'B. Implementation Plan'!P155&lt;1,$C248-'B. Implementation Plan'!P155&gt;0),MOD('B. Implementation Plan'!P155,1)*J242*'B. Implementation Plan'!F142*(1-'B. Implementation Plan'!P147)^($C248-1),J242*'B. Implementation Plan'!F142*(1-'B. Implementation Plan'!P147)^($C248-1)),0),0)</f>
        <v>0</v>
      </c>
      <c r="L248" s="347">
        <f>IF($C248&lt;=ROUNDUP('B. Implementation Plan'!P155,0),ROUND(IF(AND($C248-'B. Implementation Plan'!P155&lt;1,$C248-'B. Implementation Plan'!P155&gt;0),MOD('B. Implementation Plan'!P155,1)*K242*'B. Implementation Plan'!F142*(1-'B. Implementation Plan'!P147)^($C248-1),K242*'B. Implementation Plan'!F142*(1-'B. Implementation Plan'!P147)^($C248-1)),0),0)</f>
        <v>0</v>
      </c>
      <c r="M248" s="347">
        <f>IF($C248&lt;=ROUNDUP('B. Implementation Plan'!P155,0),ROUND(IF(AND($C248-'B. Implementation Plan'!P155&lt;1,$C248-'B. Implementation Plan'!P155&gt;0),MOD('B. Implementation Plan'!P155,1)*L242*'B. Implementation Plan'!F142*(1-'B. Implementation Plan'!P147)^($C248-1),L242*'B. Implementation Plan'!F142*(1-'B. Implementation Plan'!P147)^($C248-1)),0),0)</f>
        <v>0</v>
      </c>
      <c r="N248" s="347">
        <f>IF($C248&lt;=ROUNDUP('B. Implementation Plan'!P155,0),ROUND(IF(AND($C248-'B. Implementation Plan'!P155&lt;1,$C248-'B. Implementation Plan'!P155&gt;0),MOD('B. Implementation Plan'!P155,1)*M242*'B. Implementation Plan'!F142*(1-'B. Implementation Plan'!P147)^($C248-1),M242*'B. Implementation Plan'!F142*(1-'B. Implementation Plan'!P147)^($C248-1)),0),0)</f>
        <v>0</v>
      </c>
      <c r="O248" s="347">
        <f>IF($C248&lt;=ROUNDUP('B. Implementation Plan'!P155,0),ROUND(IF(AND($C248-'B. Implementation Plan'!P155&lt;1,$C248-'B. Implementation Plan'!P155&gt;0),MOD('B. Implementation Plan'!P155,1)*N242*'B. Implementation Plan'!F142*(1-'B. Implementation Plan'!P147)^($C248-1),N242*'B. Implementation Plan'!F142*(1-'B. Implementation Plan'!P147)^($C248-1)),0),0)</f>
        <v>0</v>
      </c>
      <c r="P248" s="78" t="str">
        <f t="shared" ref="P248:P256" si="280">IF(SUM(F248:O248)&gt;0,SUM(F248:O248),"")</f>
        <v/>
      </c>
    </row>
    <row r="249" spans="3:16" s="365" customFormat="1" x14ac:dyDescent="0.3">
      <c r="C249" s="370">
        <v>3</v>
      </c>
      <c r="E249"/>
      <c r="F249"/>
      <c r="G249"/>
      <c r="H249" s="347">
        <f>IF($C249&lt;=ROUNDUP('B. Implementation Plan'!P155,0),ROUND(IF(AND($C249-'B. Implementation Plan'!P155&lt;1,$C249-'B. Implementation Plan'!P155&gt;0),MOD('B. Implementation Plan'!P155,1)*F242*'B. Implementation Plan'!F142*(1-'B. Implementation Plan'!P147)^($C249-1),F242*'B. Implementation Plan'!F142*(1-'B. Implementation Plan'!P147)^($C249-1)),0),0)</f>
        <v>0</v>
      </c>
      <c r="I249" s="347">
        <f>IF($C249&lt;=ROUNDUP('B. Implementation Plan'!P155,0),ROUND(IF(AND($C249-'B. Implementation Plan'!P155&lt;1,$C249-'B. Implementation Plan'!P155&gt;0),MOD('B. Implementation Plan'!P155,1)*G242*'B. Implementation Plan'!F142*(1-'B. Implementation Plan'!P147)^($C249-1),G242*'B. Implementation Plan'!F142*(1-'B. Implementation Plan'!P147)^($C249-1)),0),0)</f>
        <v>0</v>
      </c>
      <c r="J249" s="347">
        <f>IF($C249&lt;=ROUNDUP('B. Implementation Plan'!P155,0),ROUND(IF(AND($C249-'B. Implementation Plan'!P155&lt;1,$C249-'B. Implementation Plan'!P155&gt;0),MOD('B. Implementation Plan'!P155,1)*H242*'B. Implementation Plan'!F142*(1-'B. Implementation Plan'!P147)^($C249-1),H242*'B. Implementation Plan'!F142*(1-'B. Implementation Plan'!P147)^($C249-1)),0),0)</f>
        <v>0</v>
      </c>
      <c r="K249" s="347">
        <f>IF($C249&lt;=ROUNDUP('B. Implementation Plan'!P155,0),ROUND(IF(AND($C249-'B. Implementation Plan'!P155&lt;1,$C249-'B. Implementation Plan'!P155&gt;0),MOD('B. Implementation Plan'!P155,1)*I242*'B. Implementation Plan'!F142*(1-'B. Implementation Plan'!P147)^($C249-1),I242*'B. Implementation Plan'!F142*(1-'B. Implementation Plan'!P147)^($C249-1)),0),0)</f>
        <v>0</v>
      </c>
      <c r="L249" s="347">
        <f>IF($C249&lt;=ROUNDUP('B. Implementation Plan'!P155,0),ROUND(IF(AND($C249-'B. Implementation Plan'!P155&lt;1,$C249-'B. Implementation Plan'!P155&gt;0),MOD('B. Implementation Plan'!P155,1)*J242*'B. Implementation Plan'!F142*(1-'B. Implementation Plan'!P147)^($C249-1),J242*'B. Implementation Plan'!F142*(1-'B. Implementation Plan'!P147)^($C249-1)),0),0)</f>
        <v>0</v>
      </c>
      <c r="M249" s="347">
        <f>IF($C249&lt;=ROUNDUP('B. Implementation Plan'!P155,0),ROUND(IF(AND($C249-'B. Implementation Plan'!P155&lt;1,$C249-'B. Implementation Plan'!P155&gt;0),MOD('B. Implementation Plan'!P155,1)*K242*'B. Implementation Plan'!F142*(1-'B. Implementation Plan'!P147)^($C249-1),K242*'B. Implementation Plan'!F142*(1-'B. Implementation Plan'!P147)^($C249-1)),0),0)</f>
        <v>0</v>
      </c>
      <c r="N249" s="347">
        <f>IF($C249&lt;=ROUNDUP('B. Implementation Plan'!P155,0),ROUND(IF(AND($C249-'B. Implementation Plan'!P155&lt;1,$C249-'B. Implementation Plan'!P155&gt;0),MOD('B. Implementation Plan'!P155,1)*L242*'B. Implementation Plan'!F142*(1-'B. Implementation Plan'!P147)^($C249-1),L242*'B. Implementation Plan'!F142*(1-'B. Implementation Plan'!P147)^($C249-1)),0),0)</f>
        <v>0</v>
      </c>
      <c r="O249" s="347">
        <f>IF($C249&lt;=ROUNDUP('B. Implementation Plan'!P155,0),ROUND(IF(AND($C249-'B. Implementation Plan'!P155&lt;1,$C249-'B. Implementation Plan'!P155&gt;0),MOD('B. Implementation Plan'!P155,1)*M242*'B. Implementation Plan'!F142*(1-'B. Implementation Plan'!P147)^($C249-1),M242*'B. Implementation Plan'!F142*(1-'B. Implementation Plan'!P147)^($C249-1)),0),0)</f>
        <v>0</v>
      </c>
      <c r="P249" s="78" t="str">
        <f t="shared" si="280"/>
        <v/>
      </c>
    </row>
    <row r="250" spans="3:16" s="365" customFormat="1" x14ac:dyDescent="0.3">
      <c r="C250" s="370">
        <v>4</v>
      </c>
      <c r="E250"/>
      <c r="F250"/>
      <c r="G250"/>
      <c r="H250"/>
      <c r="I250" s="347">
        <f>IF($C250&lt;=ROUNDUP('B. Implementation Plan'!P155,0),ROUND(IF(AND($C250-'B. Implementation Plan'!P155&lt;1,$C250-'B. Implementation Plan'!P155&gt;0),MOD('B. Implementation Plan'!P155,1)*F242*'B. Implementation Plan'!F142*(1-'B. Implementation Plan'!P147)^($C250-1),F242*'B. Implementation Plan'!F142*(1-'B. Implementation Plan'!P147)^($C250-1)),0),0)</f>
        <v>0</v>
      </c>
      <c r="J250" s="347">
        <f>IF($C250&lt;=ROUNDUP('B. Implementation Plan'!P155,0),ROUND(IF(AND($C250-'B. Implementation Plan'!P155&lt;1,$C250-'B. Implementation Plan'!P155&gt;0),MOD('B. Implementation Plan'!P155,1)*G242*'B. Implementation Plan'!F142*(1-'B. Implementation Plan'!P147)^($C250-1),G242*'B. Implementation Plan'!F142*(1-'B. Implementation Plan'!P147)^($C250-1)),0),0)</f>
        <v>0</v>
      </c>
      <c r="K250" s="347">
        <f>IF($C250&lt;=ROUNDUP('B. Implementation Plan'!P155,0),ROUND(IF(AND($C250-'B. Implementation Plan'!P155&lt;1,$C250-'B. Implementation Plan'!P155&gt;0),MOD('B. Implementation Plan'!P155,1)*H242*'B. Implementation Plan'!F142*(1-'B. Implementation Plan'!P147)^($C250-1),H242*'B. Implementation Plan'!F142*(1-'B. Implementation Plan'!P147)^($C250-1)),0),0)</f>
        <v>0</v>
      </c>
      <c r="L250" s="347">
        <f>IF($C250&lt;=ROUNDUP('B. Implementation Plan'!P155,0),ROUND(IF(AND($C250-'B. Implementation Plan'!P155&lt;1,$C250-'B. Implementation Plan'!P155&gt;0),MOD('B. Implementation Plan'!P155,1)*I242*'B. Implementation Plan'!F142*(1-'B. Implementation Plan'!P147)^($C250-1),I242*'B. Implementation Plan'!F142*(1-'B. Implementation Plan'!P147)^($C250-1)),0),0)</f>
        <v>0</v>
      </c>
      <c r="M250" s="347">
        <f>IF($C250&lt;=ROUNDUP('B. Implementation Plan'!P155,0),ROUND(IF(AND($C250-'B. Implementation Plan'!P155&lt;1,$C250-'B. Implementation Plan'!P155&gt;0),MOD('B. Implementation Plan'!P155,1)*J242*'B. Implementation Plan'!F142*(1-'B. Implementation Plan'!P147)^($C250-1),J242*'B. Implementation Plan'!F142*(1-'B. Implementation Plan'!P147)^($C250-1)),0),0)</f>
        <v>0</v>
      </c>
      <c r="N250" s="347">
        <f>IF($C250&lt;=ROUNDUP('B. Implementation Plan'!P155,0),ROUND(IF(AND($C250-'B. Implementation Plan'!P155&lt;1,$C250-'B. Implementation Plan'!P155&gt;0),MOD('B. Implementation Plan'!P155,1)*K242*'B. Implementation Plan'!F142*(1-'B. Implementation Plan'!P147)^($C250-1),K242*'B. Implementation Plan'!F142*(1-'B. Implementation Plan'!P147)^($C250-1)),0),0)</f>
        <v>0</v>
      </c>
      <c r="O250" s="347">
        <f>IF($C250&lt;=ROUNDUP('B. Implementation Plan'!P155,0),ROUND(IF(AND($C250-'B. Implementation Plan'!P155&lt;1,$C250-'B. Implementation Plan'!P155&gt;0),MOD('B. Implementation Plan'!P155,1)*L242*'B. Implementation Plan'!F142*(1-'B. Implementation Plan'!P147)^($C250-1),L242*'B. Implementation Plan'!F142*(1-'B. Implementation Plan'!P147)^($C250-1)),0),0)</f>
        <v>0</v>
      </c>
      <c r="P250" s="78" t="str">
        <f t="shared" si="280"/>
        <v/>
      </c>
    </row>
    <row r="251" spans="3:16" s="365" customFormat="1" x14ac:dyDescent="0.3">
      <c r="C251" s="370">
        <v>5</v>
      </c>
      <c r="E251"/>
      <c r="F251"/>
      <c r="G251"/>
      <c r="H251"/>
      <c r="I251"/>
      <c r="J251" s="347">
        <f>IF($C251&lt;=ROUNDUP('B. Implementation Plan'!P155,0),ROUND(IF(AND($C251-'B. Implementation Plan'!P155&lt;1,$C251-'B. Implementation Plan'!P155&gt;0),MOD('B. Implementation Plan'!P155,1)*F242*'B. Implementation Plan'!F142*(1-'B. Implementation Plan'!P147)^($C251-1),F242*'B. Implementation Plan'!F142*(1-'B. Implementation Plan'!P147)^($C251-1)),0),0)</f>
        <v>0</v>
      </c>
      <c r="K251" s="347">
        <f>IF($C251&lt;=ROUNDUP('B. Implementation Plan'!P155,0),ROUND(IF(AND($C251-'B. Implementation Plan'!P155&lt;1,$C251-'B. Implementation Plan'!P155&gt;0),MOD('B. Implementation Plan'!P155,1)*G242*'B. Implementation Plan'!F142*(1-'B. Implementation Plan'!P147)^($C251-1),G242*'B. Implementation Plan'!F142*(1-'B. Implementation Plan'!P147)^($C251-1)),0),0)</f>
        <v>0</v>
      </c>
      <c r="L251" s="347">
        <f>IF($C251&lt;=ROUNDUP('B. Implementation Plan'!P155,0),ROUND(IF(AND($C251-'B. Implementation Plan'!P155&lt;1,$C251-'B. Implementation Plan'!P155&gt;0),MOD('B. Implementation Plan'!P155,1)*H242*'B. Implementation Plan'!F142*(1-'B. Implementation Plan'!P147)^($C251-1),H242*'B. Implementation Plan'!F142*(1-'B. Implementation Plan'!P147)^($C251-1)),0),0)</f>
        <v>0</v>
      </c>
      <c r="M251" s="347">
        <f>IF($C251&lt;=ROUNDUP('B. Implementation Plan'!P155,0),ROUND(IF(AND($C251-'B. Implementation Plan'!P155&lt;1,$C251-'B. Implementation Plan'!P155&gt;0),MOD('B. Implementation Plan'!P155,1)*I242*'B. Implementation Plan'!F142*(1-'B. Implementation Plan'!P147)^($C251-1),I242*'B. Implementation Plan'!F142*(1-'B. Implementation Plan'!P147)^($C251-1)),0),0)</f>
        <v>0</v>
      </c>
      <c r="N251" s="347">
        <f>IF($C251&lt;=ROUNDUP('B. Implementation Plan'!P155,0),ROUND(IF(AND($C251-'B. Implementation Plan'!P155&lt;1,$C251-'B. Implementation Plan'!P155&gt;0),MOD('B. Implementation Plan'!P155,1)*J242*'B. Implementation Plan'!F142*(1-'B. Implementation Plan'!P147)^($C251-1),J242*'B. Implementation Plan'!F142*(1-'B. Implementation Plan'!P147)^($C251-1)),0),0)</f>
        <v>0</v>
      </c>
      <c r="O251" s="347">
        <f>IF($C251&lt;=ROUNDUP('B. Implementation Plan'!P155,0),ROUND(IF(AND($C251-'B. Implementation Plan'!P155&lt;1,$C251-'B. Implementation Plan'!P155&gt;0),MOD('B. Implementation Plan'!P155,1)*K242*'B. Implementation Plan'!F142*(1-'B. Implementation Plan'!P147)^($C251-1),K242*'B. Implementation Plan'!F142*(1-'B. Implementation Plan'!P147)^($C251-1)),0),0)</f>
        <v>0</v>
      </c>
      <c r="P251" s="78" t="str">
        <f t="shared" si="280"/>
        <v/>
      </c>
    </row>
    <row r="252" spans="3:16" s="365" customFormat="1" x14ac:dyDescent="0.3">
      <c r="C252" s="370">
        <v>6</v>
      </c>
      <c r="E252"/>
      <c r="F252"/>
      <c r="G252"/>
      <c r="H252"/>
      <c r="I252"/>
      <c r="J252"/>
      <c r="K252" s="347">
        <f>IF($C252&lt;=ROUNDUP('B. Implementation Plan'!P155,0),ROUND(IF(AND($C252-'B. Implementation Plan'!P155&lt;1,$C252-'B. Implementation Plan'!P155&gt;0),MOD('B. Implementation Plan'!P155,1)*F242*'B. Implementation Plan'!F142*(1-'B. Implementation Plan'!P147)^($C252-1),F242*'B. Implementation Plan'!F142*(1-'B. Implementation Plan'!P147)^($C252-1)),0),0)</f>
        <v>0</v>
      </c>
      <c r="L252" s="347">
        <f>IF($C252&lt;=ROUNDUP('B. Implementation Plan'!P155,0),ROUND(IF(AND($C252-'B. Implementation Plan'!P155&lt;1,$C252-'B. Implementation Plan'!P155&gt;0),MOD('B. Implementation Plan'!P155,1)*G242*'B. Implementation Plan'!F142*(1-'B. Implementation Plan'!P147)^($C252-1),G242*'B. Implementation Plan'!F142*(1-'B. Implementation Plan'!P147)^($C252-1)),0),0)</f>
        <v>0</v>
      </c>
      <c r="M252" s="347">
        <f>IF($C252&lt;=ROUNDUP('B. Implementation Plan'!P155,0),ROUND(IF(AND($C252-'B. Implementation Plan'!P155&lt;1,$C252-'B. Implementation Plan'!P155&gt;0),MOD('B. Implementation Plan'!P155,1)*H242*'B. Implementation Plan'!F142*(1-'B. Implementation Plan'!P147)^($C252-1),H242*'B. Implementation Plan'!F142*(1-'B. Implementation Plan'!P147)^($C252-1)),0),0)</f>
        <v>0</v>
      </c>
      <c r="N252" s="347">
        <f>IF($C252&lt;=ROUNDUP('B. Implementation Plan'!P155,0),ROUND(IF(AND($C252-'B. Implementation Plan'!P155&lt;1,$C252-'B. Implementation Plan'!P155&gt;0),MOD('B. Implementation Plan'!P155,1)*I242*'B. Implementation Plan'!F142*(1-'B. Implementation Plan'!P147)^($C252-1),I242*'B. Implementation Plan'!F142*(1-'B. Implementation Plan'!P147)^($C252-1)),0),0)</f>
        <v>0</v>
      </c>
      <c r="O252" s="347">
        <f>IF($C252&lt;=ROUNDUP('B. Implementation Plan'!P155,0),ROUND(IF(AND($C252-'B. Implementation Plan'!P155&lt;1,$C252-'B. Implementation Plan'!P155&gt;0),MOD('B. Implementation Plan'!P155,1)*J242*'B. Implementation Plan'!F142*(1-'B. Implementation Plan'!P147)^($C252-1),J242*'B. Implementation Plan'!F142*(1-'B. Implementation Plan'!P147)^($C252-1)),0),0)</f>
        <v>0</v>
      </c>
      <c r="P252" s="78" t="str">
        <f t="shared" si="280"/>
        <v/>
      </c>
    </row>
    <row r="253" spans="3:16" s="365" customFormat="1" x14ac:dyDescent="0.3">
      <c r="C253" s="370">
        <v>7</v>
      </c>
      <c r="E253"/>
      <c r="F253"/>
      <c r="G253"/>
      <c r="H253"/>
      <c r="I253"/>
      <c r="J253"/>
      <c r="K253"/>
      <c r="L253" s="347">
        <f>IF($C253&lt;=ROUNDUP('B. Implementation Plan'!P155,0),ROUND(IF(AND($C253-'B. Implementation Plan'!P155&lt;1,$C253-'B. Implementation Plan'!P155&gt;0),MOD('B. Implementation Plan'!P155,1)*F242*'B. Implementation Plan'!F142*(1-'B. Implementation Plan'!P147)^($C253-1),F242*'B. Implementation Plan'!F142*(1-'B. Implementation Plan'!P147)^($C253-1)),0),0)</f>
        <v>0</v>
      </c>
      <c r="M253" s="347">
        <f>IF($C253&lt;=ROUNDUP('B. Implementation Plan'!P155,0),ROUND(IF(AND($C253-'B. Implementation Plan'!P155&lt;1,$C253-'B. Implementation Plan'!P155&gt;0),MOD('B. Implementation Plan'!P155,1)*G242*'B. Implementation Plan'!F142*(1-'B. Implementation Plan'!P147)^($C253-1),G242*'B. Implementation Plan'!F142*(1-'B. Implementation Plan'!P147)^($C253-1)),0),0)</f>
        <v>0</v>
      </c>
      <c r="N253" s="347">
        <f>IF($C253&lt;=ROUNDUP('B. Implementation Plan'!P155,0),ROUND(IF(AND($C253-'B. Implementation Plan'!P155&lt;1,$C253-'B. Implementation Plan'!P155&gt;0),MOD('B. Implementation Plan'!P155,1)*H242*'B. Implementation Plan'!F142*(1-'B. Implementation Plan'!P147)^($C253-1),H242*'B. Implementation Plan'!F142*(1-'B. Implementation Plan'!P147)^($C253-1)),0),0)</f>
        <v>0</v>
      </c>
      <c r="O253" s="347">
        <f>IF($C253&lt;=ROUNDUP('B. Implementation Plan'!P155,0),ROUND(IF(AND($C253-'B. Implementation Plan'!P155&lt;1,$C253-'B. Implementation Plan'!P155&gt;0),MOD('B. Implementation Plan'!P155,1)*I242*'B. Implementation Plan'!F142*(1-'B. Implementation Plan'!P147)^($C253-1),I242*'B. Implementation Plan'!F142*(1-'B. Implementation Plan'!P147)^($C253-1)),0),0)</f>
        <v>0</v>
      </c>
      <c r="P253" s="78" t="str">
        <f t="shared" si="280"/>
        <v/>
      </c>
    </row>
    <row r="254" spans="3:16" s="365" customFormat="1" x14ac:dyDescent="0.3">
      <c r="C254" s="370">
        <v>8</v>
      </c>
      <c r="E254"/>
      <c r="F254"/>
      <c r="G254"/>
      <c r="H254"/>
      <c r="I254"/>
      <c r="J254"/>
      <c r="K254"/>
      <c r="L254"/>
      <c r="M254" s="347">
        <f>IF($C254&lt;=ROUNDUP('B. Implementation Plan'!P155,0),ROUND(IF(AND($C254-'B. Implementation Plan'!P155&lt;1,$C254-'B. Implementation Plan'!P155&gt;0),MOD('B. Implementation Plan'!P155,1)*F242*'B. Implementation Plan'!F142*(1-'B. Implementation Plan'!P147)^($C254-1),F242*'B. Implementation Plan'!F142*(1-'B. Implementation Plan'!P147)^($C254-1)),0),0)</f>
        <v>0</v>
      </c>
      <c r="N254" s="347">
        <f>IF($C254&lt;=ROUNDUP('B. Implementation Plan'!P155,0),ROUND(IF(AND($C254-'B. Implementation Plan'!P155&lt;1,$C254-'B. Implementation Plan'!P155&gt;0),MOD('B. Implementation Plan'!P155,1)*G242*'B. Implementation Plan'!F142*(1-'B. Implementation Plan'!P147)^($C254-1),G242*'B. Implementation Plan'!F142*(1-'B. Implementation Plan'!P147)^($C254-1)),0),0)</f>
        <v>0</v>
      </c>
      <c r="O254" s="347">
        <f>IF($C254&lt;=ROUNDUP('B. Implementation Plan'!P155,0),ROUND(IF(AND($C254-'B. Implementation Plan'!P155&lt;1,$C254-'B. Implementation Plan'!P155&gt;0),MOD('B. Implementation Plan'!P155,1)*H242*'B. Implementation Plan'!F142*(1-'B. Implementation Plan'!P147)^($C254-1),H242*'B. Implementation Plan'!F142*(1-'B. Implementation Plan'!P147)^($C254-1)),0),0)</f>
        <v>0</v>
      </c>
      <c r="P254" s="78" t="str">
        <f t="shared" si="280"/>
        <v/>
      </c>
    </row>
    <row r="255" spans="3:16" s="365" customFormat="1" x14ac:dyDescent="0.3">
      <c r="C255" s="370">
        <v>9</v>
      </c>
      <c r="E255"/>
      <c r="F255"/>
      <c r="G255"/>
      <c r="H255"/>
      <c r="I255"/>
      <c r="J255"/>
      <c r="K255"/>
      <c r="L255"/>
      <c r="M255"/>
      <c r="N255" s="347">
        <f>IF($C255&lt;=ROUNDUP('B. Implementation Plan'!P155,0),ROUND(IF(AND($C255-'B. Implementation Plan'!P155&lt;1,$C255-'B. Implementation Plan'!P155&gt;0),MOD('B. Implementation Plan'!P155,1)*F242*'B. Implementation Plan'!F142*(1-'B. Implementation Plan'!P147)^($C255-1),F242*'B. Implementation Plan'!F142*(1-'B. Implementation Plan'!P147)^($C255-1)),0),0)</f>
        <v>0</v>
      </c>
      <c r="O255" s="347">
        <f>IF($C255&lt;=ROUNDUP('B. Implementation Plan'!P155,0),ROUND(IF(AND($C255-'B. Implementation Plan'!P155&lt;1,$C255-'B. Implementation Plan'!P155&gt;0),MOD('B. Implementation Plan'!P155,1)*G242*'B. Implementation Plan'!F142*(1-'B. Implementation Plan'!P147)^($C255-1),G242*'B. Implementation Plan'!F142*(1-'B. Implementation Plan'!P147)^($C255-1)),0),0)</f>
        <v>0</v>
      </c>
      <c r="P255" s="78" t="str">
        <f t="shared" si="280"/>
        <v/>
      </c>
    </row>
    <row r="256" spans="3:16" s="365" customFormat="1" x14ac:dyDescent="0.3">
      <c r="C256" s="370">
        <v>10</v>
      </c>
      <c r="E256"/>
      <c r="F256"/>
      <c r="G256"/>
      <c r="H256"/>
      <c r="I256"/>
      <c r="J256"/>
      <c r="K256"/>
      <c r="L256"/>
      <c r="M256"/>
      <c r="N256" s="19"/>
      <c r="O256" s="347">
        <f>IF($C256&lt;=ROUNDUP('B. Implementation Plan'!P155,0),ROUND(IF(AND($C256-'B. Implementation Plan'!P155&lt;1,$C256-'B. Implementation Plan'!P155&gt;0),MOD('B. Implementation Plan'!P155,1)*F242*'B. Implementation Plan'!F142*(1-'B. Implementation Plan'!P147)^($C256-1),F242*'B. Implementation Plan'!F142*(1-'B. Implementation Plan'!P147)^($C256-1)),0),0)</f>
        <v>0</v>
      </c>
      <c r="P256" s="78" t="str">
        <f t="shared" si="280"/>
        <v/>
      </c>
    </row>
    <row r="257" spans="3:16" s="1" customFormat="1" x14ac:dyDescent="0.3">
      <c r="C257" s="376" t="s">
        <v>476</v>
      </c>
      <c r="E257"/>
      <c r="F257" s="371">
        <f t="shared" ref="F257:O257" ca="1" si="281">IF(F239&gt;0,SUM(F247:F256),0)</f>
        <v>0</v>
      </c>
      <c r="G257" s="371">
        <f t="shared" ca="1" si="281"/>
        <v>0</v>
      </c>
      <c r="H257" s="371">
        <f t="shared" ca="1" si="281"/>
        <v>0</v>
      </c>
      <c r="I257" s="371">
        <f t="shared" ca="1" si="281"/>
        <v>0</v>
      </c>
      <c r="J257" s="371">
        <f t="shared" ca="1" si="281"/>
        <v>0</v>
      </c>
      <c r="K257" s="371">
        <f t="shared" ca="1" si="281"/>
        <v>0</v>
      </c>
      <c r="L257" s="371">
        <f t="shared" ca="1" si="281"/>
        <v>0</v>
      </c>
      <c r="M257" s="371">
        <f t="shared" ca="1" si="281"/>
        <v>0</v>
      </c>
      <c r="N257" s="371">
        <f t="shared" ca="1" si="281"/>
        <v>0</v>
      </c>
      <c r="O257" s="371">
        <f t="shared" ca="1" si="281"/>
        <v>0</v>
      </c>
      <c r="P257" s="325">
        <f ca="1">SUM(E257:O257)</f>
        <v>0</v>
      </c>
    </row>
    <row r="258" spans="3:16" s="1" customFormat="1" x14ac:dyDescent="0.3">
      <c r="C258" s="353" t="s">
        <v>463</v>
      </c>
      <c r="E258"/>
      <c r="F258" s="324">
        <f ca="1">MIN(IFERROR(ROUNDUP(IF(F239&gt;0,INDEX(F247:F256,MATCH(9.99999999999999E+307,P247:P256))/IF(MOD('B. Implementation Plan'!P155,1)=0,1,MOD('B. Implementation Plan'!P155,1)),0),0),0),MAX(E247:E256))</f>
        <v>0</v>
      </c>
      <c r="G258" s="324">
        <f ca="1">MIN(IFERROR(ROUNDUP(IF(G239&gt;0,INDEX(G247:G256,MATCH(9.99999999999999E+307,P247:P256))/IF(MOD('B. Implementation Plan'!P155,1)=0,1,MOD('B. Implementation Plan'!P155,1)),0),0),0),MAX(E247:F256))</f>
        <v>0</v>
      </c>
      <c r="H258" s="324">
        <f ca="1">MIN(IFERROR(ROUNDUP(IF(H239&gt;0,INDEX(H247:H256,MATCH(9.99999999999999E+307,P247:P256))/IF(MOD('B. Implementation Plan'!P155,1)=0,1,MOD('B. Implementation Plan'!P155,1)),0),0),0),MAX(E247:G256))</f>
        <v>0</v>
      </c>
      <c r="I258" s="324">
        <f ca="1">MIN(IFERROR(ROUNDUP(IF(I239&gt;0,INDEX(I247:I256,MATCH(9.99999999999999E+307,P247:P256))/IF(MOD('B. Implementation Plan'!P155,1)=0,1,MOD('B. Implementation Plan'!P155,1)),0),0),0),MAX(E247:H256))</f>
        <v>0</v>
      </c>
      <c r="J258" s="324">
        <f ca="1">MIN(IFERROR(ROUNDUP(IF(J239&gt;0,INDEX(J247:J256,MATCH(9.99999999999999E+307,P247:P256))/IF(MOD('B. Implementation Plan'!P155,1)=0,1,MOD('B. Implementation Plan'!P155,1)),0),0),0),MAX(E247:I256))</f>
        <v>0</v>
      </c>
      <c r="K258" s="324">
        <f ca="1">MIN(IFERROR(ROUNDUP(IF(K239&gt;0,INDEX(K247:K256,MATCH(9.99999999999999E+307,P247:P256))/IF(MOD('B. Implementation Plan'!P155,1)=0,1,MOD('B. Implementation Plan'!P155,1)),0),0),0),MAX(E247:J256))</f>
        <v>0</v>
      </c>
      <c r="L258" s="324">
        <f ca="1">MIN(IFERROR(ROUNDUP(IF(L239&gt;0,INDEX(L247:L256,MATCH(9.99999999999999E+307,P247:P256))/IF(MOD('B. Implementation Plan'!P155,1)=0,1,MOD('B. Implementation Plan'!P155,1)),0),0),0),MAX(E247:K256))</f>
        <v>0</v>
      </c>
      <c r="M258" s="324">
        <f ca="1">MIN(IFERROR(ROUNDUP(IF(M239&gt;0,INDEX(M247:M256,MATCH(9.99999999999999E+307,P247:P256))/IF(MOD('B. Implementation Plan'!P155,1)=0,1,MOD('B. Implementation Plan'!P155,1)),0),0),0),MAX(E247:L256))</f>
        <v>0</v>
      </c>
      <c r="N258" s="324">
        <f ca="1">MIN(IFERROR(ROUNDUP(IF(N239&gt;0,INDEX(N247:N256,MATCH(9.99999999999999E+307,P247:P256))/IF(MOD('B. Implementation Plan'!P155,1)=0,1,MOD('B. Implementation Plan'!P155,1)),0),0),0),MAX(E247:M256))</f>
        <v>0</v>
      </c>
      <c r="O258" s="324">
        <f ca="1">MIN(IFERROR(ROUNDUP(IF(O239&gt;0,INDEX(O247:O256,MATCH(9.99999999999999E+307,P247:P256))/IF(MOD('B. Implementation Plan'!P155,1)=0,1,MOD('B. Implementation Plan'!P155,1)),0),0),0),MAX(E247:N256))</f>
        <v>0</v>
      </c>
      <c r="P258" s="325">
        <f ca="1">SUM(E258:O258)</f>
        <v>0</v>
      </c>
    </row>
    <row r="259" spans="3:16" s="365" customFormat="1" x14ac:dyDescent="0.3">
      <c r="C259" s="326" t="s">
        <v>462</v>
      </c>
      <c r="E259"/>
      <c r="F259" s="347">
        <f ca="1">ROUNDUP(IF(F239&gt;0,IF(SUM(E258:F258,E259:E259)*'B. Implementation Plan'!P147&gt;P258,0,-ROUND(SUM(E258:F258,E259:E259)*'B. Implementation Plan'!P147,0)),0),0)</f>
        <v>0</v>
      </c>
      <c r="G259" s="347">
        <f ca="1">ROUNDUP(IF(G239&gt;0,IF(SUM(E258:G258,E259:F259)*'B. Implementation Plan'!P147&gt;P258,0,-ROUND(SUM(E258:G258,E259:F259)*'B. Implementation Plan'!P147,0)),0),0)</f>
        <v>0</v>
      </c>
      <c r="H259" s="347">
        <f ca="1">ROUNDUP(IF(H239&gt;0,IF(SUM(E258:H258,E259:G259)*'B. Implementation Plan'!P147&gt;P258,0,-ROUND(SUM(E258:H258,E259:G259)*'B. Implementation Plan'!P147,0)),0),0)</f>
        <v>0</v>
      </c>
      <c r="I259" s="347">
        <f ca="1">ROUNDUP(IF(I239&gt;0,IF(SUM(E258:I258,E259:H259)*'B. Implementation Plan'!P147&gt;P258,0,-ROUND(SUM(E258:I258,E259:H259)*'B. Implementation Plan'!P147,0)),0),0)</f>
        <v>0</v>
      </c>
      <c r="J259" s="347">
        <f ca="1">ROUNDUP(IF(J239&gt;0,IF(SUM(E258:J258,E259:I259)*'B. Implementation Plan'!P147&gt;P258,0,-ROUND(SUM(E258:J258,E259:I259)*'B. Implementation Plan'!P147,0)),0),0)</f>
        <v>0</v>
      </c>
      <c r="K259" s="347">
        <f ca="1">ROUNDUP(IF(K239&gt;0,IF(SUM(E258:K258,E259:J259)*'B. Implementation Plan'!P147&gt;P258,0,-ROUND(SUM(E258:K258,E259:J259)*'B. Implementation Plan'!P147,0)),0),0)</f>
        <v>0</v>
      </c>
      <c r="L259" s="347">
        <f ca="1">ROUNDUP(IF(L239&gt;0,IF(SUM(E258:L258,E259:K259)*'B. Implementation Plan'!P147&gt;P258,0,-ROUND(SUM(E258:L258,E259:K259)*'B. Implementation Plan'!P147,0)),0),0)</f>
        <v>0</v>
      </c>
      <c r="M259" s="347">
        <f ca="1">ROUNDUP(IF(M239&gt;0,IF(SUM(E258:M258,E259:L259)*'B. Implementation Plan'!P147&gt;P258,0,-ROUND(SUM(E258:M258,E259:L259)*'B. Implementation Plan'!P147,0)),0),0)</f>
        <v>0</v>
      </c>
      <c r="N259" s="347">
        <f ca="1">ROUNDUP(IF(N239&gt;0,IF(SUM(E258:N258,E259:M259)*'B. Implementation Plan'!P147&gt;P258,0,-ROUND(SUM(E258:N258,E259:M259)*'B. Implementation Plan'!P147,0)),0),0)</f>
        <v>0</v>
      </c>
      <c r="O259" s="347">
        <f ca="1">ROUNDUP(IF(O239&gt;0,IF(SUM(E258:O258,E259:N259)*'B. Implementation Plan'!P147&gt;P258,0,-ROUND(SUM(E258:O258,E259:N259)*'B. Implementation Plan'!P147,0)),0),0)</f>
        <v>0</v>
      </c>
      <c r="P259" s="354">
        <f ca="1">SUM(E259:O259)</f>
        <v>0</v>
      </c>
    </row>
    <row r="260" spans="3:16" s="365" customFormat="1" ht="15" thickBot="1" x14ac:dyDescent="0.35">
      <c r="C260" s="326" t="s">
        <v>464</v>
      </c>
      <c r="E260"/>
      <c r="F260" s="347">
        <f ca="1">IF(F239&gt;0,SUM(E258:F259),0)</f>
        <v>0</v>
      </c>
      <c r="G260" s="347">
        <f ca="1">IF(G239&gt;0,SUM(E258:G259),0)</f>
        <v>0</v>
      </c>
      <c r="H260" s="347">
        <f ca="1">IF(H239&gt;0,SUM(E258:H259),0)</f>
        <v>0</v>
      </c>
      <c r="I260" s="347">
        <f ca="1">IF(I239&gt;0,SUM(E258:I259),0)</f>
        <v>0</v>
      </c>
      <c r="J260" s="347">
        <f ca="1">IF(J239&gt;0,SUM(E258:J259),0)</f>
        <v>0</v>
      </c>
      <c r="K260" s="347">
        <f ca="1">IF(K239&gt;0,SUM(E258:K259),0)</f>
        <v>0</v>
      </c>
      <c r="L260" s="347">
        <f ca="1">IF(L239&gt;0,SUM(E258:L259),0)</f>
        <v>0</v>
      </c>
      <c r="M260" s="347">
        <f ca="1">IF(M239&gt;0,SUM(E258:M259),0)</f>
        <v>0</v>
      </c>
      <c r="N260" s="347">
        <f ca="1">IF(N239&gt;0,SUM(E258:N259),0)</f>
        <v>0</v>
      </c>
      <c r="O260" s="369">
        <f ca="1">IF(O239&gt;0,SUM(E258:O259),0)</f>
        <v>0</v>
      </c>
      <c r="P260" s="375">
        <f t="shared" ref="P260" ca="1" si="282">IF(O260=0,IF(N260=0,IF(M260=0,IF(L260=0,IF(K260=0,IF(J260=0,IF(I260=0,IF(H260=0,IF(G260=0,IF(F260=0,E260,F260),G260),H260),I260),J260),K260),L260),M260),N260),O260)</f>
        <v>0</v>
      </c>
    </row>
    <row r="261" spans="3:16" ht="15" thickBot="1" x14ac:dyDescent="0.35">
      <c r="C261" s="59" t="s">
        <v>465</v>
      </c>
    </row>
    <row r="262" spans="3:16" ht="15.6" x14ac:dyDescent="0.3">
      <c r="C262" s="326" t="s">
        <v>481</v>
      </c>
      <c r="F262" s="149">
        <v>1</v>
      </c>
      <c r="G262" s="149">
        <v>2</v>
      </c>
      <c r="H262" s="149">
        <v>3</v>
      </c>
      <c r="I262" s="149">
        <v>4</v>
      </c>
      <c r="J262" s="149">
        <v>5</v>
      </c>
      <c r="K262" s="149">
        <v>6</v>
      </c>
      <c r="L262" s="149">
        <v>7</v>
      </c>
      <c r="M262" s="149">
        <v>8</v>
      </c>
      <c r="N262" s="149">
        <v>9</v>
      </c>
      <c r="O262" s="374">
        <v>10</v>
      </c>
      <c r="P262" s="351" t="s">
        <v>2</v>
      </c>
    </row>
    <row r="263" spans="3:16" s="365" customFormat="1" x14ac:dyDescent="0.3">
      <c r="C263" s="370">
        <v>1</v>
      </c>
      <c r="E263"/>
      <c r="F263" s="347">
        <f>IF($C263&lt;=ROUNDUP('B. Implementation Plan'!P156,0),ROUND(IF(AND($C263-'B. Implementation Plan'!P156&lt;1,$C263-'B. Implementation Plan'!P156&gt;0),MOD('B. Implementation Plan'!P156,1)*F242*'B. Implementation Plan'!F144*(1-'B. Implementation Plan'!P147)^($C263-1),F242*'B. Implementation Plan'!F144*(1-'B. Implementation Plan'!P147)^($C263-1)),0),0)</f>
        <v>0</v>
      </c>
      <c r="G263" s="347">
        <f>IF($C263&lt;=ROUNDUP('B. Implementation Plan'!P156,0),ROUND(IF(AND($C263-'B. Implementation Plan'!P156&lt;1,$C263-'B. Implementation Plan'!P156&gt;0),MOD('B. Implementation Plan'!P156,1)*G242*'B. Implementation Plan'!F144*(1-'B. Implementation Plan'!P147)^($C263-1),G242*'B. Implementation Plan'!F144*(1-'B. Implementation Plan'!P147)^($C263-1)),0),0)</f>
        <v>0</v>
      </c>
      <c r="H263" s="347">
        <f>IF($C263&lt;=ROUNDUP('B. Implementation Plan'!P156,0),ROUND(IF(AND($C263-'B. Implementation Plan'!P156&lt;1,$C263-'B. Implementation Plan'!P156&gt;0),MOD('B. Implementation Plan'!P156,1)*H242*'B. Implementation Plan'!F144*(1-'B. Implementation Plan'!P147)^($C263-1),H242*'B. Implementation Plan'!F144*(1-'B. Implementation Plan'!P147)^($C263-1)),0),0)</f>
        <v>0</v>
      </c>
      <c r="I263" s="347">
        <f>IF($C263&lt;=ROUNDUP('B. Implementation Plan'!P156,0),ROUND(IF(AND($C263-'B. Implementation Plan'!P156&lt;1,$C263-'B. Implementation Plan'!P156&gt;0),MOD('B. Implementation Plan'!P156,1)*I242*'B. Implementation Plan'!F144*(1-'B. Implementation Plan'!P147)^($C263-1),I242*'B. Implementation Plan'!F144*(1-'B. Implementation Plan'!P147)^($C263-1)),0),0)</f>
        <v>0</v>
      </c>
      <c r="J263" s="347">
        <f>IF($C263&lt;=ROUNDUP('B. Implementation Plan'!P156,0),ROUND(IF(AND($C263-'B. Implementation Plan'!P156&lt;1,$C263-'B. Implementation Plan'!P156&gt;0),MOD('B. Implementation Plan'!P156,1)*J242*'B. Implementation Plan'!F144*(1-'B. Implementation Plan'!P147)^($C263-1),J242*'B. Implementation Plan'!F144*(1-'B. Implementation Plan'!P147)^($C263-1)),0),0)</f>
        <v>0</v>
      </c>
      <c r="K263" s="347">
        <f>IF($C263&lt;=ROUNDUP('B. Implementation Plan'!P156,0),ROUND(IF(AND($C263-'B. Implementation Plan'!P156&lt;1,$C263-'B. Implementation Plan'!P156&gt;0),MOD('B. Implementation Plan'!P156,1)*K242*'B. Implementation Plan'!F144*(1-'B. Implementation Plan'!P147)^($C263-1),K242*'B. Implementation Plan'!F144*(1-'B. Implementation Plan'!P147)^($C263-1)),0),0)</f>
        <v>0</v>
      </c>
      <c r="L263" s="347">
        <f>IF($C263&lt;=ROUNDUP('B. Implementation Plan'!P156,0),ROUND(IF(AND($C263-'B. Implementation Plan'!P156&lt;1,$C263-'B. Implementation Plan'!P156&gt;0),MOD('B. Implementation Plan'!P156,1)*L242*'B. Implementation Plan'!F144*(1-'B. Implementation Plan'!P147)^($C263-1),L242*'B. Implementation Plan'!F144*(1-'B. Implementation Plan'!P147)^($C263-1)),0),0)</f>
        <v>0</v>
      </c>
      <c r="M263" s="347">
        <f>IF($C263&lt;=ROUNDUP('B. Implementation Plan'!P156,0),ROUND(IF(AND($C263-'B. Implementation Plan'!P156&lt;1,$C263-'B. Implementation Plan'!P156&gt;0),MOD('B. Implementation Plan'!P156,1)*M242*'B. Implementation Plan'!F144*(1-'B. Implementation Plan'!P147)^($C263-1),M242*'B. Implementation Plan'!F144*(1-'B. Implementation Plan'!P147)^($C263-1)),0),0)</f>
        <v>0</v>
      </c>
      <c r="N263" s="347">
        <f>IF($C263&lt;=ROUNDUP('B. Implementation Plan'!P156,0),ROUND(IF(AND($C263-'B. Implementation Plan'!P156&lt;1,$C263-'B. Implementation Plan'!P156&gt;0),MOD('B. Implementation Plan'!P156,1)*N242*'B. Implementation Plan'!F144*(1-'B. Implementation Plan'!P147)^($C263-1),N242*'B. Implementation Plan'!F144*(1-'B. Implementation Plan'!P147)^($C263-1)),0),0)</f>
        <v>0</v>
      </c>
      <c r="O263" s="347">
        <f>IF($C263&lt;=ROUNDUP('B. Implementation Plan'!P156,0),ROUND(IF(AND($C263-'B. Implementation Plan'!P156&lt;1,$C263-'B. Implementation Plan'!P156&gt;0),MOD('B. Implementation Plan'!P156,1)*O242*'B. Implementation Plan'!F144*(1-'B. Implementation Plan'!P147)^($C263-1),O242*'B. Implementation Plan'!F144*(1-'B. Implementation Plan'!P147)^($C263-1)),0),0)</f>
        <v>0</v>
      </c>
      <c r="P263" s="78" t="str">
        <f>IF(SUM(F263:O263)&gt;0,SUM(F263:O263),"")</f>
        <v/>
      </c>
    </row>
    <row r="264" spans="3:16" s="365" customFormat="1" x14ac:dyDescent="0.3">
      <c r="C264" s="370">
        <v>2</v>
      </c>
      <c r="E264"/>
      <c r="F264"/>
      <c r="G264" s="347">
        <f>IF($C264&lt;=ROUNDUP('B. Implementation Plan'!P156,0),ROUND(IF(AND($C264-'B. Implementation Plan'!P156&lt;1,$C264-'B. Implementation Plan'!P156&gt;0),MOD('B. Implementation Plan'!P156,1)*F242*'B. Implementation Plan'!F144*(1-'B. Implementation Plan'!P147)^($C264-1),F242*'B. Implementation Plan'!F144*(1-'B. Implementation Plan'!P147)^($C264-1)),0),0)</f>
        <v>0</v>
      </c>
      <c r="H264" s="347">
        <f>IF($C264&lt;=ROUNDUP('B. Implementation Plan'!P156,0),ROUND(IF(AND($C264-'B. Implementation Plan'!P156&lt;1,$C264-'B. Implementation Plan'!P156&gt;0),MOD('B. Implementation Plan'!P156,1)*G242*'B. Implementation Plan'!F144*(1-'B. Implementation Plan'!P147)^($C264-1),G242*'B. Implementation Plan'!F144*(1-'B. Implementation Plan'!P147)^($C264-1)),0),0)</f>
        <v>0</v>
      </c>
      <c r="I264" s="347">
        <f>IF($C264&lt;=ROUNDUP('B. Implementation Plan'!P156,0),ROUND(IF(AND($C264-'B. Implementation Plan'!P156&lt;1,$C264-'B. Implementation Plan'!P156&gt;0),MOD('B. Implementation Plan'!P156,1)*H242*'B. Implementation Plan'!F144*(1-'B. Implementation Plan'!P147)^($C264-1),H242*'B. Implementation Plan'!F144*(1-'B. Implementation Plan'!P147)^($C264-1)),0),0)</f>
        <v>0</v>
      </c>
      <c r="J264" s="347">
        <f>IF($C264&lt;=ROUNDUP('B. Implementation Plan'!P156,0),ROUND(IF(AND($C264-'B. Implementation Plan'!P156&lt;1,$C264-'B. Implementation Plan'!P156&gt;0),MOD('B. Implementation Plan'!P156,1)*I242*'B. Implementation Plan'!F144*(1-'B. Implementation Plan'!P147)^($C264-1),I242*'B. Implementation Plan'!F144*(1-'B. Implementation Plan'!P147)^($C264-1)),0),0)</f>
        <v>0</v>
      </c>
      <c r="K264" s="347">
        <f>IF($C264&lt;=ROUNDUP('B. Implementation Plan'!P156,0),ROUND(IF(AND($C264-'B. Implementation Plan'!P156&lt;1,$C264-'B. Implementation Plan'!P156&gt;0),MOD('B. Implementation Plan'!P156,1)*J242*'B. Implementation Plan'!F144*(1-'B. Implementation Plan'!P147)^($C264-1),J242*'B. Implementation Plan'!F144*(1-'B. Implementation Plan'!P147)^($C264-1)),0),0)</f>
        <v>0</v>
      </c>
      <c r="L264" s="347">
        <f>IF($C264&lt;=ROUNDUP('B. Implementation Plan'!P156,0),ROUND(IF(AND($C264-'B. Implementation Plan'!P156&lt;1,$C264-'B. Implementation Plan'!P156&gt;0),MOD('B. Implementation Plan'!P156,1)*K242*'B. Implementation Plan'!F144*(1-'B. Implementation Plan'!P147)^($C264-1),K242*'B. Implementation Plan'!F144*(1-'B. Implementation Plan'!P147)^($C264-1)),0),0)</f>
        <v>0</v>
      </c>
      <c r="M264" s="347">
        <f>IF($C264&lt;=ROUNDUP('B. Implementation Plan'!P156,0),ROUND(IF(AND($C264-'B. Implementation Plan'!P156&lt;1,$C264-'B. Implementation Plan'!P156&gt;0),MOD('B. Implementation Plan'!P156,1)*L242*'B. Implementation Plan'!F144*(1-'B. Implementation Plan'!P147)^($C264-1),L242*'B. Implementation Plan'!F144*(1-'B. Implementation Plan'!P147)^($C264-1)),0),0)</f>
        <v>0</v>
      </c>
      <c r="N264" s="347">
        <f>IF($C264&lt;=ROUNDUP('B. Implementation Plan'!P156,0),ROUND(IF(AND($C264-'B. Implementation Plan'!P156&lt;1,$C264-'B. Implementation Plan'!P156&gt;0),MOD('B. Implementation Plan'!P156,1)*M242*'B. Implementation Plan'!F144*(1-'B. Implementation Plan'!P147)^($C264-1),M242*'B. Implementation Plan'!F144*(1-'B. Implementation Plan'!P147)^($C264-1)),0),0)</f>
        <v>0</v>
      </c>
      <c r="O264" s="347">
        <f>IF($C264&lt;=ROUNDUP('B. Implementation Plan'!P156,0),ROUND(IF(AND($C264-'B. Implementation Plan'!P156&lt;1,$C264-'B. Implementation Plan'!P156&gt;0),MOD('B. Implementation Plan'!P156,1)*N242*'B. Implementation Plan'!F144*(1-'B. Implementation Plan'!P147)^($C264-1),N242*'B. Implementation Plan'!F144*(1-'B. Implementation Plan'!P147)^($C264-1)),0),0)</f>
        <v>0</v>
      </c>
      <c r="P264" s="78" t="str">
        <f t="shared" ref="P264:P272" si="283">IF(SUM(F264:O264)&gt;0,SUM(F264:O264),"")</f>
        <v/>
      </c>
    </row>
    <row r="265" spans="3:16" s="365" customFormat="1" x14ac:dyDescent="0.3">
      <c r="C265" s="370">
        <v>3</v>
      </c>
      <c r="E265"/>
      <c r="F265"/>
      <c r="G265"/>
      <c r="H265" s="347">
        <f>IF($C265&lt;=ROUNDUP('B. Implementation Plan'!P156,0),ROUND(IF(AND($C265-'B. Implementation Plan'!P156&lt;1,$C265-'B. Implementation Plan'!P156&gt;0),MOD('B. Implementation Plan'!P156,1)*F242*'B. Implementation Plan'!F144*(1-'B. Implementation Plan'!P147)^($C265-1),F242*'B. Implementation Plan'!F144*(1-'B. Implementation Plan'!P147)^($C265-1)),0),0)</f>
        <v>0</v>
      </c>
      <c r="I265" s="347">
        <f>IF($C265&lt;=ROUNDUP('B. Implementation Plan'!P156,0),ROUND(IF(AND($C265-'B. Implementation Plan'!P156&lt;1,$C265-'B. Implementation Plan'!P156&gt;0),MOD('B. Implementation Plan'!P156,1)*G242*'B. Implementation Plan'!F144*(1-'B. Implementation Plan'!P147)^($C265-1),G242*'B. Implementation Plan'!F144*(1-'B. Implementation Plan'!P147)^($C265-1)),0),0)</f>
        <v>0</v>
      </c>
      <c r="J265" s="347">
        <f>IF($C265&lt;=ROUNDUP('B. Implementation Plan'!P156,0),ROUND(IF(AND($C265-'B. Implementation Plan'!P156&lt;1,$C265-'B. Implementation Plan'!P156&gt;0),MOD('B. Implementation Plan'!P156,1)*H242*'B. Implementation Plan'!F144*(1-'B. Implementation Plan'!P147)^($C265-1),H242*'B. Implementation Plan'!F144*(1-'B. Implementation Plan'!P147)^($C265-1)),0),0)</f>
        <v>0</v>
      </c>
      <c r="K265" s="347">
        <f>IF($C265&lt;=ROUNDUP('B. Implementation Plan'!P156,0),ROUND(IF(AND($C265-'B. Implementation Plan'!P156&lt;1,$C265-'B. Implementation Plan'!P156&gt;0),MOD('B. Implementation Plan'!P156,1)*I242*'B. Implementation Plan'!F144*(1-'B. Implementation Plan'!P147)^($C265-1),I242*'B. Implementation Plan'!F144*(1-'B. Implementation Plan'!P147)^($C265-1)),0),0)</f>
        <v>0</v>
      </c>
      <c r="L265" s="347">
        <f>IF($C265&lt;=ROUNDUP('B. Implementation Plan'!P156,0),ROUND(IF(AND($C265-'B. Implementation Plan'!P156&lt;1,$C265-'B. Implementation Plan'!P156&gt;0),MOD('B. Implementation Plan'!P156,1)*J242*'B. Implementation Plan'!F144*(1-'B. Implementation Plan'!P147)^($C265-1),J242*'B. Implementation Plan'!F144*(1-'B. Implementation Plan'!P147)^($C265-1)),0),0)</f>
        <v>0</v>
      </c>
      <c r="M265" s="347">
        <f>IF($C265&lt;=ROUNDUP('B. Implementation Plan'!P156,0),ROUND(IF(AND($C265-'B. Implementation Plan'!P156&lt;1,$C265-'B. Implementation Plan'!P156&gt;0),MOD('B. Implementation Plan'!P156,1)*K242*'B. Implementation Plan'!F144*(1-'B. Implementation Plan'!P147)^($C265-1),K242*'B. Implementation Plan'!F144*(1-'B. Implementation Plan'!P147)^($C265-1)),0),0)</f>
        <v>0</v>
      </c>
      <c r="N265" s="347">
        <f>IF($C265&lt;=ROUNDUP('B. Implementation Plan'!P156,0),ROUND(IF(AND($C265-'B. Implementation Plan'!P156&lt;1,$C265-'B. Implementation Plan'!P156&gt;0),MOD('B. Implementation Plan'!P156,1)*L242*'B. Implementation Plan'!F144*(1-'B. Implementation Plan'!P147)^($C265-1),L242*'B. Implementation Plan'!F144*(1-'B. Implementation Plan'!P147)^($C265-1)),0),0)</f>
        <v>0</v>
      </c>
      <c r="O265" s="347">
        <f>IF($C265&lt;=ROUNDUP('B. Implementation Plan'!P156,0),ROUND(IF(AND($C265-'B. Implementation Plan'!P156&lt;1,$C265-'B. Implementation Plan'!P156&gt;0),MOD('B. Implementation Plan'!P156,1)*M242*'B. Implementation Plan'!F144*(1-'B. Implementation Plan'!P147)^($C265-1),M242*'B. Implementation Plan'!F144*(1-'B. Implementation Plan'!P147)^($C265-1)),0),0)</f>
        <v>0</v>
      </c>
      <c r="P265" s="78" t="str">
        <f t="shared" si="283"/>
        <v/>
      </c>
    </row>
    <row r="266" spans="3:16" s="365" customFormat="1" x14ac:dyDescent="0.3">
      <c r="C266" s="370">
        <v>4</v>
      </c>
      <c r="E266"/>
      <c r="F266"/>
      <c r="G266"/>
      <c r="H266"/>
      <c r="I266" s="347">
        <f>IF($C266&lt;=ROUNDUP('B. Implementation Plan'!P156,0),ROUND(IF(AND($C266-'B. Implementation Plan'!P156&lt;1,$C266-'B. Implementation Plan'!P156&gt;0),MOD('B. Implementation Plan'!P156,1)*F242*'B. Implementation Plan'!F144*(1-'B. Implementation Plan'!P147)^($C266-1),F242*'B. Implementation Plan'!F144*(1-'B. Implementation Plan'!P147)^($C266-1)),0),0)</f>
        <v>0</v>
      </c>
      <c r="J266" s="347">
        <f>IF($C266&lt;=ROUNDUP('B. Implementation Plan'!P156,0),ROUND(IF(AND($C266-'B. Implementation Plan'!P156&lt;1,$C266-'B. Implementation Plan'!P156&gt;0),MOD('B. Implementation Plan'!P156,1)*G242*'B. Implementation Plan'!F144*(1-'B. Implementation Plan'!P147)^($C266-1),G242*'B. Implementation Plan'!F144*(1-'B. Implementation Plan'!P147)^($C266-1)),0),0)</f>
        <v>0</v>
      </c>
      <c r="K266" s="347">
        <f>IF($C266&lt;=ROUNDUP('B. Implementation Plan'!P156,0),ROUND(IF(AND($C266-'B. Implementation Plan'!P156&lt;1,$C266-'B. Implementation Plan'!P156&gt;0),MOD('B. Implementation Plan'!P156,1)*H242*'B. Implementation Plan'!F144*(1-'B. Implementation Plan'!P147)^($C266-1),H242*'B. Implementation Plan'!F144*(1-'B. Implementation Plan'!P147)^($C266-1)),0),0)</f>
        <v>0</v>
      </c>
      <c r="L266" s="347">
        <f>IF($C266&lt;=ROUNDUP('B. Implementation Plan'!P156,0),ROUND(IF(AND($C266-'B. Implementation Plan'!P156&lt;1,$C266-'B. Implementation Plan'!P156&gt;0),MOD('B. Implementation Plan'!P156,1)*I242*'B. Implementation Plan'!F144*(1-'B. Implementation Plan'!P147)^($C266-1),I242*'B. Implementation Plan'!F144*(1-'B. Implementation Plan'!P147)^($C266-1)),0),0)</f>
        <v>0</v>
      </c>
      <c r="M266" s="347">
        <f>IF($C266&lt;=ROUNDUP('B. Implementation Plan'!P156,0),ROUND(IF(AND($C266-'B. Implementation Plan'!P156&lt;1,$C266-'B. Implementation Plan'!P156&gt;0),MOD('B. Implementation Plan'!P156,1)*J242*'B. Implementation Plan'!F144*(1-'B. Implementation Plan'!P147)^($C266-1),J242*'B. Implementation Plan'!F144*(1-'B. Implementation Plan'!P147)^($C266-1)),0),0)</f>
        <v>0</v>
      </c>
      <c r="N266" s="347">
        <f>IF($C266&lt;=ROUNDUP('B. Implementation Plan'!P156,0),ROUND(IF(AND($C266-'B. Implementation Plan'!P156&lt;1,$C266-'B. Implementation Plan'!P156&gt;0),MOD('B. Implementation Plan'!P156,1)*K242*'B. Implementation Plan'!F144*(1-'B. Implementation Plan'!P147)^($C266-1),K242*'B. Implementation Plan'!F144*(1-'B. Implementation Plan'!P147)^($C266-1)),0),0)</f>
        <v>0</v>
      </c>
      <c r="O266" s="347">
        <f>IF($C266&lt;=ROUNDUP('B. Implementation Plan'!P156,0),ROUND(IF(AND($C266-'B. Implementation Plan'!P156&lt;1,$C266-'B. Implementation Plan'!P156&gt;0),MOD('B. Implementation Plan'!P156,1)*L242*'B. Implementation Plan'!F144*(1-'B. Implementation Plan'!P147)^($C266-1),L242*'B. Implementation Plan'!F144*(1-'B. Implementation Plan'!P147)^($C266-1)),0),0)</f>
        <v>0</v>
      </c>
      <c r="P266" s="78" t="str">
        <f t="shared" si="283"/>
        <v/>
      </c>
    </row>
    <row r="267" spans="3:16" s="365" customFormat="1" x14ac:dyDescent="0.3">
      <c r="C267" s="370">
        <v>5</v>
      </c>
      <c r="E267"/>
      <c r="F267"/>
      <c r="G267"/>
      <c r="H267"/>
      <c r="I267"/>
      <c r="J267" s="347">
        <f>IF($C267&lt;=ROUNDUP('B. Implementation Plan'!P156,0),ROUND(IF(AND($C267-'B. Implementation Plan'!P156&lt;1,$C267-'B. Implementation Plan'!P156&gt;0),MOD('B. Implementation Plan'!P156,1)*F242*'B. Implementation Plan'!F144*(1-'B. Implementation Plan'!P147)^($C267-1),F242*'B. Implementation Plan'!F144*(1-'B. Implementation Plan'!P147)^($C267-1)),0),0)</f>
        <v>0</v>
      </c>
      <c r="K267" s="347">
        <f>IF($C267&lt;=ROUNDUP('B. Implementation Plan'!P156,0),ROUND(IF(AND($C267-'B. Implementation Plan'!P156&lt;1,$C267-'B. Implementation Plan'!P156&gt;0),MOD('B. Implementation Plan'!P156,1)*G242*'B. Implementation Plan'!F144*(1-'B. Implementation Plan'!P147)^($C267-1),G242*'B. Implementation Plan'!F144*(1-'B. Implementation Plan'!P147)^($C267-1)),0),0)</f>
        <v>0</v>
      </c>
      <c r="L267" s="347">
        <f>IF($C267&lt;=ROUNDUP('B. Implementation Plan'!P156,0),ROUND(IF(AND($C267-'B. Implementation Plan'!P156&lt;1,$C267-'B. Implementation Plan'!P156&gt;0),MOD('B. Implementation Plan'!P156,1)*H242*'B. Implementation Plan'!F144*(1-'B. Implementation Plan'!P147)^($C267-1),H242*'B. Implementation Plan'!F144*(1-'B. Implementation Plan'!P147)^($C267-1)),0),0)</f>
        <v>0</v>
      </c>
      <c r="M267" s="347">
        <f>IF($C267&lt;=ROUNDUP('B. Implementation Plan'!P156,0),ROUND(IF(AND($C267-'B. Implementation Plan'!P156&lt;1,$C267-'B. Implementation Plan'!P156&gt;0),MOD('B. Implementation Plan'!P156,1)*I242*'B. Implementation Plan'!F144*(1-'B. Implementation Plan'!P147)^($C267-1),I242*'B. Implementation Plan'!F144*(1-'B. Implementation Plan'!P147)^($C267-1)),0),0)</f>
        <v>0</v>
      </c>
      <c r="N267" s="347">
        <f>IF($C267&lt;=ROUNDUP('B. Implementation Plan'!P156,0),ROUND(IF(AND($C267-'B. Implementation Plan'!P156&lt;1,$C267-'B. Implementation Plan'!P156&gt;0),MOD('B. Implementation Plan'!P156,1)*J242*'B. Implementation Plan'!F144*(1-'B. Implementation Plan'!P147)^($C267-1),J242*'B. Implementation Plan'!F144*(1-'B. Implementation Plan'!P147)^($C267-1)),0),0)</f>
        <v>0</v>
      </c>
      <c r="O267" s="347">
        <f>IF($C267&lt;=ROUNDUP('B. Implementation Plan'!P156,0),ROUND(IF(AND($C267-'B. Implementation Plan'!P156&lt;1,$C267-'B. Implementation Plan'!P156&gt;0),MOD('B. Implementation Plan'!P156,1)*K242*'B. Implementation Plan'!F144*(1-'B. Implementation Plan'!P147)^($C267-1),K242*'B. Implementation Plan'!F144*(1-'B. Implementation Plan'!P147)^($C267-1)),0),0)</f>
        <v>0</v>
      </c>
      <c r="P267" s="78" t="str">
        <f t="shared" si="283"/>
        <v/>
      </c>
    </row>
    <row r="268" spans="3:16" s="365" customFormat="1" x14ac:dyDescent="0.3">
      <c r="C268" s="370">
        <v>6</v>
      </c>
      <c r="E268"/>
      <c r="F268"/>
      <c r="G268"/>
      <c r="H268"/>
      <c r="I268"/>
      <c r="J268"/>
      <c r="K268" s="347">
        <f>IF($C268&lt;=ROUNDUP('B. Implementation Plan'!P156,0),ROUND(IF(AND($C268-'B. Implementation Plan'!P156&lt;1,$C268-'B. Implementation Plan'!P156&gt;0),MOD('B. Implementation Plan'!P156,1)*F242*'B. Implementation Plan'!F144*(1-'B. Implementation Plan'!P147)^($C268-1),F242*'B. Implementation Plan'!F144*(1-'B. Implementation Plan'!P147)^($C268-1)),0),0)</f>
        <v>0</v>
      </c>
      <c r="L268" s="347">
        <f>IF($C268&lt;=ROUNDUP('B. Implementation Plan'!P156,0),ROUND(IF(AND($C268-'B. Implementation Plan'!P156&lt;1,$C268-'B. Implementation Plan'!P156&gt;0),MOD('B. Implementation Plan'!P156,1)*G242*'B. Implementation Plan'!F144*(1-'B. Implementation Plan'!P147)^($C268-1),G242*'B. Implementation Plan'!F144*(1-'B. Implementation Plan'!P147)^($C268-1)),0),0)</f>
        <v>0</v>
      </c>
      <c r="M268" s="347">
        <f>IF($C268&lt;=ROUNDUP('B. Implementation Plan'!P156,0),ROUND(IF(AND($C268-'B. Implementation Plan'!P156&lt;1,$C268-'B. Implementation Plan'!P156&gt;0),MOD('B. Implementation Plan'!P156,1)*H242*'B. Implementation Plan'!F144*(1-'B. Implementation Plan'!P147)^($C268-1),H242*'B. Implementation Plan'!F144*(1-'B. Implementation Plan'!P147)^($C268-1)),0),0)</f>
        <v>0</v>
      </c>
      <c r="N268" s="347">
        <f>IF($C268&lt;=ROUNDUP('B. Implementation Plan'!P156,0),ROUND(IF(AND($C268-'B. Implementation Plan'!P156&lt;1,$C268-'B. Implementation Plan'!P156&gt;0),MOD('B. Implementation Plan'!P156,1)*I242*'B. Implementation Plan'!F144*(1-'B. Implementation Plan'!P147)^($C268-1),I242*'B. Implementation Plan'!F144*(1-'B. Implementation Plan'!P147)^($C268-1)),0),0)</f>
        <v>0</v>
      </c>
      <c r="O268" s="347">
        <f>IF($C268&lt;=ROUNDUP('B. Implementation Plan'!P156,0),ROUND(IF(AND($C268-'B. Implementation Plan'!P156&lt;1,$C268-'B. Implementation Plan'!P156&gt;0),MOD('B. Implementation Plan'!P156,1)*J242*'B. Implementation Plan'!F144*(1-'B. Implementation Plan'!P147)^($C268-1),J242*'B. Implementation Plan'!F144*(1-'B. Implementation Plan'!P147)^($C268-1)),0),0)</f>
        <v>0</v>
      </c>
      <c r="P268" s="78" t="str">
        <f t="shared" si="283"/>
        <v/>
      </c>
    </row>
    <row r="269" spans="3:16" s="365" customFormat="1" x14ac:dyDescent="0.3">
      <c r="C269" s="370">
        <v>7</v>
      </c>
      <c r="E269"/>
      <c r="F269"/>
      <c r="G269"/>
      <c r="H269"/>
      <c r="I269"/>
      <c r="J269"/>
      <c r="K269"/>
      <c r="L269" s="347">
        <f>IF($C269&lt;=ROUNDUP('B. Implementation Plan'!P156,0),ROUND(IF(AND($C269-'B. Implementation Plan'!P156&lt;1,$C269-'B. Implementation Plan'!P156&gt;0),MOD('B. Implementation Plan'!P156,1)*F242*'B. Implementation Plan'!F144*(1-'B. Implementation Plan'!P147)^($C269-1),F242*'B. Implementation Plan'!F144*(1-'B. Implementation Plan'!P147)^($C269-1)),0),0)</f>
        <v>0</v>
      </c>
      <c r="M269" s="347">
        <f>IF($C269&lt;=ROUNDUP('B. Implementation Plan'!P156,0),ROUND(IF(AND($C269-'B. Implementation Plan'!P156&lt;1,$C269-'B. Implementation Plan'!P156&gt;0),MOD('B. Implementation Plan'!P156,1)*G242*'B. Implementation Plan'!F144*(1-'B. Implementation Plan'!P147)^($C269-1),G242*'B. Implementation Plan'!F144*(1-'B. Implementation Plan'!P147)^($C269-1)),0),0)</f>
        <v>0</v>
      </c>
      <c r="N269" s="347">
        <f>IF($C269&lt;=ROUNDUP('B. Implementation Plan'!P156,0),ROUND(IF(AND($C269-'B. Implementation Plan'!P156&lt;1,$C269-'B. Implementation Plan'!P156&gt;0),MOD('B. Implementation Plan'!P156,1)*H242*'B. Implementation Plan'!F144*(1-'B. Implementation Plan'!P147)^($C269-1),H242*'B. Implementation Plan'!F144*(1-'B. Implementation Plan'!P147)^($C269-1)),0),0)</f>
        <v>0</v>
      </c>
      <c r="O269" s="347">
        <f>IF($C269&lt;=ROUNDUP('B. Implementation Plan'!P156,0),ROUND(IF(AND($C269-'B. Implementation Plan'!P156&lt;1,$C269-'B. Implementation Plan'!P156&gt;0),MOD('B. Implementation Plan'!P156,1)*I242*'B. Implementation Plan'!F144*(1-'B. Implementation Plan'!P147)^($C269-1),I242*'B. Implementation Plan'!F144*(1-'B. Implementation Plan'!P147)^($C269-1)),0),0)</f>
        <v>0</v>
      </c>
      <c r="P269" s="78" t="str">
        <f t="shared" si="283"/>
        <v/>
      </c>
    </row>
    <row r="270" spans="3:16" s="365" customFormat="1" x14ac:dyDescent="0.3">
      <c r="C270" s="370">
        <v>8</v>
      </c>
      <c r="E270"/>
      <c r="F270"/>
      <c r="G270"/>
      <c r="H270"/>
      <c r="I270"/>
      <c r="J270"/>
      <c r="K270"/>
      <c r="L270"/>
      <c r="M270" s="347">
        <f>IF($C270&lt;=ROUNDUP('B. Implementation Plan'!P156,0),ROUND(IF(AND($C270-'B. Implementation Plan'!P156&lt;1,$C270-'B. Implementation Plan'!P156&gt;0),MOD('B. Implementation Plan'!P156,1)*F242*'B. Implementation Plan'!F144*(1-'B. Implementation Plan'!P147)^($C270-1),F242*'B. Implementation Plan'!F144*(1-'B. Implementation Plan'!P147)^($C270-1)),0),0)</f>
        <v>0</v>
      </c>
      <c r="N270" s="347">
        <f>IF($C270&lt;=ROUNDUP('B. Implementation Plan'!P156,0),ROUND(IF(AND($C270-'B. Implementation Plan'!P156&lt;1,$C270-'B. Implementation Plan'!P156&gt;0),MOD('B. Implementation Plan'!P156,1)*G242*'B. Implementation Plan'!F144*(1-'B. Implementation Plan'!P147)^($C270-1),G242*'B. Implementation Plan'!F144*(1-'B. Implementation Plan'!P147)^($C270-1)),0),0)</f>
        <v>0</v>
      </c>
      <c r="O270" s="347">
        <f>IF($C270&lt;=ROUNDUP('B. Implementation Plan'!P156,0),ROUND(IF(AND($C270-'B. Implementation Plan'!P156&lt;1,$C270-'B. Implementation Plan'!P156&gt;0),MOD('B. Implementation Plan'!P156,1)*H242*'B. Implementation Plan'!F144*(1-'B. Implementation Plan'!P147)^($C270-1),H242*'B. Implementation Plan'!F144*(1-'B. Implementation Plan'!P147)^($C270-1)),0),0)</f>
        <v>0</v>
      </c>
      <c r="P270" s="78" t="str">
        <f t="shared" si="283"/>
        <v/>
      </c>
    </row>
    <row r="271" spans="3:16" s="365" customFormat="1" x14ac:dyDescent="0.3">
      <c r="C271" s="370">
        <v>9</v>
      </c>
      <c r="E271"/>
      <c r="F271"/>
      <c r="G271"/>
      <c r="H271"/>
      <c r="I271"/>
      <c r="J271"/>
      <c r="K271"/>
      <c r="L271"/>
      <c r="M271"/>
      <c r="N271" s="347">
        <f>IF($C271&lt;=ROUNDUP('B. Implementation Plan'!P156,0),ROUND(IF(AND($C271-'B. Implementation Plan'!P156&lt;1,$C271-'B. Implementation Plan'!P156&gt;0),MOD('B. Implementation Plan'!P156,1)*F242*'B. Implementation Plan'!F144*(1-'B. Implementation Plan'!P147)^($C271-1),F242*'B. Implementation Plan'!F144*(1-'B. Implementation Plan'!P147)^($C271-1)),0),0)</f>
        <v>0</v>
      </c>
      <c r="O271" s="347">
        <f>IF($C271&lt;=ROUNDUP('B. Implementation Plan'!P156,0),ROUND(IF(AND($C271-'B. Implementation Plan'!P156&lt;1,$C271-'B. Implementation Plan'!P156&gt;0),MOD('B. Implementation Plan'!P156,1)*G242*'B. Implementation Plan'!F144*(1-'B. Implementation Plan'!P147)^($C271-1),G242*'B. Implementation Plan'!F144*(1-'B. Implementation Plan'!P147)^($C271-1)),0),0)</f>
        <v>0</v>
      </c>
      <c r="P271" s="78" t="str">
        <f t="shared" si="283"/>
        <v/>
      </c>
    </row>
    <row r="272" spans="3:16" s="365" customFormat="1" x14ac:dyDescent="0.3">
      <c r="C272" s="370">
        <v>10</v>
      </c>
      <c r="E272"/>
      <c r="F272"/>
      <c r="G272"/>
      <c r="H272"/>
      <c r="I272"/>
      <c r="J272"/>
      <c r="K272"/>
      <c r="L272"/>
      <c r="M272"/>
      <c r="N272" s="19"/>
      <c r="O272" s="347">
        <f>IF($C272&lt;=ROUNDUP('B. Implementation Plan'!P156,0),ROUND(IF(AND($C272-'B. Implementation Plan'!P156&lt;1,$C272-'B. Implementation Plan'!P156&gt;0),MOD('B. Implementation Plan'!P156,1)*F242*'B. Implementation Plan'!F144*(1-'B. Implementation Plan'!P147)^($C272-1),F242*'B. Implementation Plan'!F144*(1-'B. Implementation Plan'!P147)^($C272-1)),0),0)</f>
        <v>0</v>
      </c>
      <c r="P272" s="78" t="str">
        <f t="shared" si="283"/>
        <v/>
      </c>
    </row>
    <row r="273" spans="3:16" s="1" customFormat="1" x14ac:dyDescent="0.3">
      <c r="C273" s="376" t="s">
        <v>475</v>
      </c>
      <c r="E273"/>
      <c r="F273" s="371">
        <f t="shared" ref="F273:O273" ca="1" si="284">IF(F239&gt;0,SUM(F263:F272),0)</f>
        <v>0</v>
      </c>
      <c r="G273" s="371">
        <f t="shared" ca="1" si="284"/>
        <v>0</v>
      </c>
      <c r="H273" s="371">
        <f t="shared" ca="1" si="284"/>
        <v>0</v>
      </c>
      <c r="I273" s="371">
        <f t="shared" ca="1" si="284"/>
        <v>0</v>
      </c>
      <c r="J273" s="371">
        <f t="shared" ca="1" si="284"/>
        <v>0</v>
      </c>
      <c r="K273" s="371">
        <f t="shared" ca="1" si="284"/>
        <v>0</v>
      </c>
      <c r="L273" s="371">
        <f t="shared" ca="1" si="284"/>
        <v>0</v>
      </c>
      <c r="M273" s="371">
        <f t="shared" ca="1" si="284"/>
        <v>0</v>
      </c>
      <c r="N273" s="371">
        <f t="shared" ca="1" si="284"/>
        <v>0</v>
      </c>
      <c r="O273" s="371">
        <f t="shared" ca="1" si="284"/>
        <v>0</v>
      </c>
      <c r="P273" s="325">
        <f ca="1">SUM(E273:O273)</f>
        <v>0</v>
      </c>
    </row>
    <row r="274" spans="3:16" s="1" customFormat="1" x14ac:dyDescent="0.3">
      <c r="C274" s="353" t="s">
        <v>478</v>
      </c>
      <c r="E274"/>
      <c r="F274" s="324">
        <f ca="1">MIN(IFERROR(ROUNDUP(IF(F239&gt;0,INDEX(F263:F272,MATCH(9.99999999999999E+307,P263:P272))/IF(MOD('B. Implementation Plan'!P156,1)=0,1,MOD('B. Implementation Plan'!P156,1)),0),0),0),MAX(E263:E272))</f>
        <v>0</v>
      </c>
      <c r="G274" s="324">
        <f ca="1">MIN(IFERROR(ROUNDUP(IF(G239&gt;0,INDEX(G263:G272,MATCH(9.99999999999999E+307,P263:P272))/IF(MOD('B. Implementation Plan'!P156,1)=0,1,MOD('B. Implementation Plan'!P156,1)),0),0),0),MAX(E263:F272))</f>
        <v>0</v>
      </c>
      <c r="H274" s="324">
        <f ca="1">MIN(IFERROR(ROUNDUP(IF(H239&gt;0,INDEX(H263:H272,MATCH(9.99999999999999E+307,P263:P272))/IF(MOD('B. Implementation Plan'!P156,1)=0,1,MOD('B. Implementation Plan'!P156,1)),0),0),0),MAX(E263:G272))</f>
        <v>0</v>
      </c>
      <c r="I274" s="324">
        <f ca="1">MIN(IFERROR(ROUNDUP(IF(I239&gt;0,INDEX(I263:I272,MATCH(9.99999999999999E+307,P263:P272))/IF(MOD('B. Implementation Plan'!P156,1)=0,1,MOD('B. Implementation Plan'!P156,1)),0),0),0),MAX(E263:H272))</f>
        <v>0</v>
      </c>
      <c r="J274" s="324">
        <f ca="1">MIN(IFERROR(ROUNDUP(IF(J239&gt;0,INDEX(J263:J272,MATCH(9.99999999999999E+307,P263:P272))/IF(MOD('B. Implementation Plan'!P156,1)=0,1,MOD('B. Implementation Plan'!P156,1)),0),0),0),MAX(E263:I272))</f>
        <v>0</v>
      </c>
      <c r="K274" s="324">
        <f ca="1">MIN(IFERROR(ROUNDUP(IF(K239&gt;0,INDEX(K263:K272,MATCH(9.99999999999999E+307,P263:P272))/IF(MOD('B. Implementation Plan'!P156,1)=0,1,MOD('B. Implementation Plan'!P156,1)),0),0),0),MAX(E263:J272))</f>
        <v>0</v>
      </c>
      <c r="L274" s="324">
        <f ca="1">MIN(IFERROR(ROUNDUP(IF(L239&gt;0,INDEX(L263:L272,MATCH(9.99999999999999E+307,P263:P272))/IF(MOD('B. Implementation Plan'!P156,1)=0,1,MOD('B. Implementation Plan'!P156,1)),0),0),0),MAX(E263:K272))</f>
        <v>0</v>
      </c>
      <c r="M274" s="324">
        <f ca="1">MIN(IFERROR(ROUNDUP(IF(M239&gt;0,INDEX(M263:M272,MATCH(9.99999999999999E+307,P263:P272))/IF(MOD('B. Implementation Plan'!P156,1)=0,1,MOD('B. Implementation Plan'!P156,1)),0),0),0),MAX(E263:L272))</f>
        <v>0</v>
      </c>
      <c r="N274" s="324">
        <f ca="1">MIN(IFERROR(ROUNDUP(IF(N239&gt;0,INDEX(N263:N272,MATCH(9.99999999999999E+307,P263:P272))/IF(MOD('B. Implementation Plan'!P156,1)=0,1,MOD('B. Implementation Plan'!P156,1)),0),0),0),MAX(E263:M272))</f>
        <v>0</v>
      </c>
      <c r="O274" s="324">
        <f ca="1">MIN(IFERROR(ROUNDUP(IF(O239&gt;0,INDEX(O263:O272,MATCH(9.99999999999999E+307,P263:P272))/IF(MOD('B. Implementation Plan'!P156,1)=0,1,MOD('B. Implementation Plan'!P156,1)),0),0),0),MAX(E263:N272))</f>
        <v>0</v>
      </c>
      <c r="P274" s="325">
        <f ca="1">SUM(E274:O274)</f>
        <v>0</v>
      </c>
    </row>
    <row r="275" spans="3:16" s="365" customFormat="1" x14ac:dyDescent="0.3">
      <c r="C275" s="326" t="s">
        <v>462</v>
      </c>
      <c r="E275"/>
      <c r="F275" s="347">
        <f ca="1">ROUNDUP(IF(F239&gt;0,IF(SUM(E274:F274,E275:E275)*'B. Implementation Plan'!P147&gt;P274,0,-ROUND(SUM(E274:F274,E275:E275)*'B. Implementation Plan'!P147,0)),0),0)</f>
        <v>0</v>
      </c>
      <c r="G275" s="347">
        <f ca="1">ROUNDUP(IF(G239&gt;0,IF(SUM(E274:G274,E275:F275)*'B. Implementation Plan'!P147&gt;P274,0,-ROUND(SUM(E274:G274,E275:F275)*'B. Implementation Plan'!P147,0)),0),0)</f>
        <v>0</v>
      </c>
      <c r="H275" s="347">
        <f ca="1">ROUNDUP(IF(H239&gt;0,IF(SUM(E274:H274,E275:G275)*'B. Implementation Plan'!P147&gt;P274,0,-ROUND(SUM(E274:H274,E275:G275)*'B. Implementation Plan'!P147,0)),0),0)</f>
        <v>0</v>
      </c>
      <c r="I275" s="347">
        <f ca="1">ROUNDUP(IF(I239&gt;0,IF(SUM(E274:I274,E275:H275)*'B. Implementation Plan'!P147&gt;P274,0,-ROUND(SUM(E274:I274,E275:H275)*'B. Implementation Plan'!P147,0)),0),0)</f>
        <v>0</v>
      </c>
      <c r="J275" s="347">
        <f ca="1">ROUNDUP(IF(J239&gt;0,IF(SUM(E274:J274,E275:I275)*'B. Implementation Plan'!P147&gt;P274,0,-ROUND(SUM(E274:J274,E275:I275)*'B. Implementation Plan'!P147,0)),0),0)</f>
        <v>0</v>
      </c>
      <c r="K275" s="347">
        <f ca="1">ROUNDUP(IF(K239&gt;0,IF(SUM(E274:K274,E275:J275)*'B. Implementation Plan'!P147&gt;P274,0,-ROUND(SUM(E274:K274,E275:J275)*'B. Implementation Plan'!P147,0)),0),0)</f>
        <v>0</v>
      </c>
      <c r="L275" s="347">
        <f ca="1">ROUNDUP(IF(L239&gt;0,IF(SUM(E274:L274,E275:K275)*'B. Implementation Plan'!P147&gt;P274,0,-ROUND(SUM(E274:L274,E275:K275)*'B. Implementation Plan'!P147,0)),0),0)</f>
        <v>0</v>
      </c>
      <c r="M275" s="347">
        <f ca="1">ROUNDUP(IF(M239&gt;0,IF(SUM(E274:M274,E275:L275)*'B. Implementation Plan'!P147&gt;P274,0,-ROUND(SUM(E274:M274,E275:L275)*'B. Implementation Plan'!P147,0)),0),0)</f>
        <v>0</v>
      </c>
      <c r="N275" s="347">
        <f ca="1">ROUNDUP(IF(N239&gt;0,IF(SUM(E274:N274,E275:M275)*'B. Implementation Plan'!P147&gt;P274,0,-ROUND(SUM(E274:N274,E275:M275)*'B. Implementation Plan'!P147,0)),0),0)</f>
        <v>0</v>
      </c>
      <c r="O275" s="347">
        <f ca="1">ROUNDUP(IF(O239&gt;0,IF(SUM(E274:O274,E275:N275)*'B. Implementation Plan'!P147&gt;P274,0,-ROUND(SUM(E274:O274,E275:N275)*'B. Implementation Plan'!P147,0)),0),0)</f>
        <v>0</v>
      </c>
      <c r="P275" s="354">
        <f ca="1">SUM(E275:O275)</f>
        <v>0</v>
      </c>
    </row>
    <row r="276" spans="3:16" s="365" customFormat="1" ht="15" thickBot="1" x14ac:dyDescent="0.35">
      <c r="C276" s="326" t="s">
        <v>464</v>
      </c>
      <c r="E276"/>
      <c r="F276" s="347">
        <f ca="1">IF(F239&gt;0,SUM(E274:F275),0)</f>
        <v>0</v>
      </c>
      <c r="G276" s="347">
        <f ca="1">IF(G239&gt;0,SUM(E274:G275),0)</f>
        <v>0</v>
      </c>
      <c r="H276" s="347">
        <f ca="1">IF(H239&gt;0,SUM(E274:H275),0)</f>
        <v>0</v>
      </c>
      <c r="I276" s="347">
        <f ca="1">IF(I239&gt;0,SUM(E274:I275),0)</f>
        <v>0</v>
      </c>
      <c r="J276" s="347">
        <f ca="1">IF(J239&gt;0,SUM(E274:J275),0)</f>
        <v>0</v>
      </c>
      <c r="K276" s="347">
        <f ca="1">IF(K239&gt;0,SUM(E274:K275),0)</f>
        <v>0</v>
      </c>
      <c r="L276" s="347">
        <f ca="1">IF(L239&gt;0,SUM(E274:L275),0)</f>
        <v>0</v>
      </c>
      <c r="M276" s="347">
        <f ca="1">IF(M239&gt;0,SUM(E274:M275),0)</f>
        <v>0</v>
      </c>
      <c r="N276" s="347">
        <f ca="1">IF(N239&gt;0,SUM(E274:N275),0)</f>
        <v>0</v>
      </c>
      <c r="O276" s="369">
        <f ca="1">IF(O239&gt;0,SUM(E274:O275),0)</f>
        <v>0</v>
      </c>
      <c r="P276" s="375">
        <f t="shared" ref="P276" ca="1" si="285">IF(O276=0,IF(N276=0,IF(M276=0,IF(L276=0,IF(K276=0,IF(J276=0,IF(I276=0,IF(H276=0,IF(G276=0,IF(F276=0,E276,F276),G276),H276),I276),J276),K276),L276),M276),N276),O276)</f>
        <v>0</v>
      </c>
    </row>
    <row r="277" spans="3:16" ht="15" thickBot="1" x14ac:dyDescent="0.35">
      <c r="C277" s="59" t="s">
        <v>466</v>
      </c>
    </row>
    <row r="278" spans="3:16" ht="15.6" x14ac:dyDescent="0.3">
      <c r="C278" s="326" t="s">
        <v>473</v>
      </c>
      <c r="F278" s="149">
        <v>1</v>
      </c>
      <c r="G278" s="149">
        <v>2</v>
      </c>
      <c r="H278" s="149">
        <v>3</v>
      </c>
      <c r="I278" s="149">
        <v>4</v>
      </c>
      <c r="J278" s="149">
        <v>5</v>
      </c>
      <c r="K278" s="149">
        <v>6</v>
      </c>
      <c r="L278" s="149">
        <v>7</v>
      </c>
      <c r="M278" s="149">
        <v>8</v>
      </c>
      <c r="N278" s="149">
        <v>9</v>
      </c>
      <c r="O278" s="374">
        <v>10</v>
      </c>
      <c r="P278" s="351" t="s">
        <v>2</v>
      </c>
    </row>
    <row r="279" spans="3:16" s="365" customFormat="1" x14ac:dyDescent="0.3">
      <c r="C279" s="370">
        <v>1</v>
      </c>
      <c r="E279"/>
      <c r="F279" s="347">
        <f ca="1">IF($C279&lt;=ROUNDUP('B. Implementation Plan'!P155,0),ROUND(IF(AND($C279-'B. Implementation Plan'!P155&lt;1,$C279-'B. Implementation Plan'!P155&gt;0),MOD('B. Implementation Plan'!P155,1)*(E244+F244)*(1-'B. Implementation Plan'!P149)*'B. Implementation Plan'!P152*'B. Implementation Plan'!P153*(1-'B. Implementation Plan'!P147)^($C279-1),(E244+F244)*(1-'B. Implementation Plan'!P149)*'B. Implementation Plan'!P152*'B. Implementation Plan'!P153*(1-'B. Implementation Plan'!P147)^($C279-1)),0),0)</f>
        <v>0</v>
      </c>
      <c r="G279" s="347">
        <f ca="1">IF($C279&lt;=ROUNDUP('B. Implementation Plan'!P155,0),ROUND(IF(AND($C279-'B. Implementation Plan'!P155&lt;1,$C279-'B. Implementation Plan'!P155&gt;0),MOD('B. Implementation Plan'!P155,1)*G244*(1-'B. Implementation Plan'!P149)*'B. Implementation Plan'!P152*'B. Implementation Plan'!P153*(1-'B. Implementation Plan'!P147)^($C279-1),G244*(1-'B. Implementation Plan'!P149)*'B. Implementation Plan'!P152*'B. Implementation Plan'!P153*(1-'B. Implementation Plan'!P147)^($C279-1)),0),0)</f>
        <v>0</v>
      </c>
      <c r="H279" s="347">
        <f ca="1">IF($C279&lt;=ROUNDUP('B. Implementation Plan'!P155,0),ROUND(IF(AND($C279-'B. Implementation Plan'!P155&lt;1,$C279-'B. Implementation Plan'!P155&gt;0),MOD('B. Implementation Plan'!P155,1)*H244*(1-'B. Implementation Plan'!P149)*'B. Implementation Plan'!P152*'B. Implementation Plan'!P153*(1-'B. Implementation Plan'!P147)^($C279-1),H244*(1-'B. Implementation Plan'!P149)*'B. Implementation Plan'!P152*'B. Implementation Plan'!P153*(1-'B. Implementation Plan'!P147)^($C279-1)),0),0)</f>
        <v>0</v>
      </c>
      <c r="I279" s="347">
        <f ca="1">IF($C279&lt;=ROUNDUP('B. Implementation Plan'!P155,0),ROUND(IF(AND($C279-'B. Implementation Plan'!P155&lt;1,$C279-'B. Implementation Plan'!P155&gt;0),MOD('B. Implementation Plan'!P155,1)*I244*(1-'B. Implementation Plan'!P149)*'B. Implementation Plan'!P152*'B. Implementation Plan'!P153*(1-'B. Implementation Plan'!P147)^($C279-1),I244*(1-'B. Implementation Plan'!P149)*'B. Implementation Plan'!P152*'B. Implementation Plan'!P153*(1-'B. Implementation Plan'!P147)^($C279-1)),0),0)</f>
        <v>0</v>
      </c>
      <c r="J279" s="347">
        <f ca="1">IF($C279&lt;=ROUNDUP('B. Implementation Plan'!P155,0),ROUND(IF(AND($C279-'B. Implementation Plan'!P155&lt;1,$C279-'B. Implementation Plan'!P155&gt;0),MOD('B. Implementation Plan'!P155,1)*J244*(1-'B. Implementation Plan'!P149)*'B. Implementation Plan'!P152*'B. Implementation Plan'!P153*(1-'B. Implementation Plan'!P147)^($C279-1),J244*(1-'B. Implementation Plan'!P149)*'B. Implementation Plan'!P152*'B. Implementation Plan'!P153*(1-'B. Implementation Plan'!P147)^($C279-1)),0),0)</f>
        <v>0</v>
      </c>
      <c r="K279" s="347">
        <f ca="1">IF($C279&lt;=ROUNDUP('B. Implementation Plan'!P155,0),ROUND(IF(AND($C279-'B. Implementation Plan'!P155&lt;1,$C279-'B. Implementation Plan'!P155&gt;0),MOD('B. Implementation Plan'!P155,1)*K244*(1-'B. Implementation Plan'!P149)*'B. Implementation Plan'!P152*'B. Implementation Plan'!P153*(1-'B. Implementation Plan'!P147)^($C279-1),K244*(1-'B. Implementation Plan'!P149)*'B. Implementation Plan'!P152*'B. Implementation Plan'!P153*(1-'B. Implementation Plan'!P147)^($C279-1)),0),0)</f>
        <v>0</v>
      </c>
      <c r="L279" s="347">
        <f ca="1">IF($C279&lt;=ROUNDUP('B. Implementation Plan'!P155,0),ROUND(IF(AND($C279-'B. Implementation Plan'!P155&lt;1,$C279-'B. Implementation Plan'!P155&gt;0),MOD('B. Implementation Plan'!P155,1)*L244*(1-'B. Implementation Plan'!P149)*'B. Implementation Plan'!P152*'B. Implementation Plan'!P153*(1-'B. Implementation Plan'!P147)^($C279-1),L244*(1-'B. Implementation Plan'!P149)*'B. Implementation Plan'!P152*'B. Implementation Plan'!P153*(1-'B. Implementation Plan'!P147)^($C279-1)),0),0)</f>
        <v>0</v>
      </c>
      <c r="M279" s="347">
        <f ca="1">IF($C279&lt;=ROUNDUP('B. Implementation Plan'!P155,0),ROUND(IF(AND($C279-'B. Implementation Plan'!P155&lt;1,$C279-'B. Implementation Plan'!P155&gt;0),MOD('B. Implementation Plan'!P155,1)*M244*(1-'B. Implementation Plan'!P149)*'B. Implementation Plan'!P152*'B. Implementation Plan'!P153*(1-'B. Implementation Plan'!P147)^($C279-1),M244*(1-'B. Implementation Plan'!P149)*'B. Implementation Plan'!P152*'B. Implementation Plan'!P153*(1-'B. Implementation Plan'!P147)^($C279-1)),0),0)</f>
        <v>0</v>
      </c>
      <c r="N279" s="347">
        <f ca="1">IF($C279&lt;=ROUNDUP('B. Implementation Plan'!P155,0),ROUND(IF(AND($C279-'B. Implementation Plan'!P155&lt;1,$C279-'B. Implementation Plan'!P155&gt;0),MOD('B. Implementation Plan'!P155,1)*N244*(1-'B. Implementation Plan'!P149)*'B. Implementation Plan'!P152*'B. Implementation Plan'!P153*(1-'B. Implementation Plan'!P147)^($C279-1),N244*(1-'B. Implementation Plan'!P149)*'B. Implementation Plan'!P152*'B. Implementation Plan'!P153*(1-'B. Implementation Plan'!P147)^($C279-1)),0),0)</f>
        <v>0</v>
      </c>
      <c r="O279" s="347">
        <f ca="1">IF($C279&lt;=ROUNDUP('B. Implementation Plan'!P155,0),ROUND(IF(AND($C279-'B. Implementation Plan'!P155&lt;1,$C279-'B. Implementation Plan'!P155&gt;0),MOD('B. Implementation Plan'!P155,1)*O244*(1-'B. Implementation Plan'!P149)*'B. Implementation Plan'!P152*'B. Implementation Plan'!P153*(1-'B. Implementation Plan'!P147)^($C279-1),O244*(1-'B. Implementation Plan'!P149)*'B. Implementation Plan'!P152*'B. Implementation Plan'!P153*(1-'B. Implementation Plan'!P147)^($C279-1)),0),0)</f>
        <v>0</v>
      </c>
      <c r="P279" s="78" t="str">
        <f ca="1">IF(SUM(F279:O279)&gt;0,SUM(F279:O279),"")</f>
        <v/>
      </c>
    </row>
    <row r="280" spans="3:16" s="365" customFormat="1" x14ac:dyDescent="0.3">
      <c r="C280" s="370">
        <v>2</v>
      </c>
      <c r="E280"/>
      <c r="F280"/>
      <c r="G280" s="347">
        <f ca="1">IF($C280&lt;=ROUNDUP('B. Implementation Plan'!P155,0),ROUND(IF(AND($C280-'B. Implementation Plan'!P155&lt;1,$C280-'B. Implementation Plan'!P155&gt;0),MOD('B. Implementation Plan'!P155,1)*(E244+F244)*(1-'B. Implementation Plan'!P149)*'B. Implementation Plan'!P152*'B. Implementation Plan'!P153*(1-'B. Implementation Plan'!P147)^($C280-1),(E244+F244)*(1-'B. Implementation Plan'!P149)*'B. Implementation Plan'!P152*'B. Implementation Plan'!P153*(1-'B. Implementation Plan'!P147)^($C280-1)),0),0)</f>
        <v>0</v>
      </c>
      <c r="H280" s="347">
        <f ca="1">IF($C280&lt;=ROUNDUP('B. Implementation Plan'!P155,0),ROUND(IF(AND($C280-'B. Implementation Plan'!P155&lt;1,$C280-'B. Implementation Plan'!P155&gt;0),MOD('B. Implementation Plan'!P155,1)*G244*(1-'B. Implementation Plan'!P149)*'B. Implementation Plan'!P152*'B. Implementation Plan'!P153*(1-'B. Implementation Plan'!P147)^($C280-1),G244*(1-'B. Implementation Plan'!P149)*'B. Implementation Plan'!P152*'B. Implementation Plan'!P153*(1-'B. Implementation Plan'!P147)^($C280-1)),0),0)</f>
        <v>0</v>
      </c>
      <c r="I280" s="347">
        <f ca="1">IF($C280&lt;=ROUNDUP('B. Implementation Plan'!P155,0),ROUND(IF(AND($C280-'B. Implementation Plan'!P155&lt;1,$C280-'B. Implementation Plan'!P155&gt;0),MOD('B. Implementation Plan'!P155,1)*H244*(1-'B. Implementation Plan'!P149)*'B. Implementation Plan'!P152*'B. Implementation Plan'!P153*(1-'B. Implementation Plan'!P147)^($C280-1),H244*(1-'B. Implementation Plan'!P149)*'B. Implementation Plan'!P152*'B. Implementation Plan'!P153*(1-'B. Implementation Plan'!P147)^($C280-1)),0),0)</f>
        <v>0</v>
      </c>
      <c r="J280" s="347">
        <f ca="1">IF($C280&lt;=ROUNDUP('B. Implementation Plan'!P155,0),ROUND(IF(AND($C280-'B. Implementation Plan'!P155&lt;1,$C280-'B. Implementation Plan'!P155&gt;0),MOD('B. Implementation Plan'!P155,1)*I244*(1-'B. Implementation Plan'!P149)*'B. Implementation Plan'!P152*'B. Implementation Plan'!P153*(1-'B. Implementation Plan'!P147)^($C280-1),I244*(1-'B. Implementation Plan'!P149)*'B. Implementation Plan'!P152*'B. Implementation Plan'!P153*(1-'B. Implementation Plan'!P147)^($C280-1)),0),0)</f>
        <v>0</v>
      </c>
      <c r="K280" s="347">
        <f ca="1">IF($C280&lt;=ROUNDUP('B. Implementation Plan'!P155,0),ROUND(IF(AND($C280-'B. Implementation Plan'!P155&lt;1,$C280-'B. Implementation Plan'!P155&gt;0),MOD('B. Implementation Plan'!P155,1)*J244*(1-'B. Implementation Plan'!P149)*'B. Implementation Plan'!P152*'B. Implementation Plan'!P153*(1-'B. Implementation Plan'!P147)^($C280-1),J244*(1-'B. Implementation Plan'!P149)*'B. Implementation Plan'!P152*'B. Implementation Plan'!P153*(1-'B. Implementation Plan'!P147)^($C280-1)),0),0)</f>
        <v>0</v>
      </c>
      <c r="L280" s="347">
        <f ca="1">IF($C280&lt;=ROUNDUP('B. Implementation Plan'!P155,0),ROUND(IF(AND($C280-'B. Implementation Plan'!P155&lt;1,$C280-'B. Implementation Plan'!P155&gt;0),MOD('B. Implementation Plan'!P155,1)*K244*(1-'B. Implementation Plan'!P149)*'B. Implementation Plan'!P152*'B. Implementation Plan'!P153*(1-'B. Implementation Plan'!P147)^($C280-1),K244*(1-'B. Implementation Plan'!P149)*'B. Implementation Plan'!P152*'B. Implementation Plan'!P153*(1-'B. Implementation Plan'!P147)^($C280-1)),0),0)</f>
        <v>0</v>
      </c>
      <c r="M280" s="347">
        <f ca="1">IF($C280&lt;=ROUNDUP('B. Implementation Plan'!P155,0),ROUND(IF(AND($C280-'B. Implementation Plan'!P155&lt;1,$C280-'B. Implementation Plan'!P155&gt;0),MOD('B. Implementation Plan'!P155,1)*L244*(1-'B. Implementation Plan'!P149)*'B. Implementation Plan'!P152*'B. Implementation Plan'!P153*(1-'B. Implementation Plan'!P147)^($C280-1),L244*(1-'B. Implementation Plan'!P149)*'B. Implementation Plan'!P152*'B. Implementation Plan'!P153*(1-'B. Implementation Plan'!P147)^($C280-1)),0),0)</f>
        <v>0</v>
      </c>
      <c r="N280" s="347">
        <f ca="1">IF($C280&lt;=ROUNDUP('B. Implementation Plan'!P155,0),ROUND(IF(AND($C280-'B. Implementation Plan'!P155&lt;1,$C280-'B. Implementation Plan'!P155&gt;0),MOD('B. Implementation Plan'!P155,1)*M244*(1-'B. Implementation Plan'!P149)*'B. Implementation Plan'!P152*'B. Implementation Plan'!P153*(1-'B. Implementation Plan'!P147)^($C280-1),M244*(1-'B. Implementation Plan'!P149)*'B. Implementation Plan'!P152*'B. Implementation Plan'!P153*(1-'B. Implementation Plan'!P147)^($C280-1)),0),0)</f>
        <v>0</v>
      </c>
      <c r="O280" s="347">
        <f ca="1">IF($C280&lt;=ROUNDUP('B. Implementation Plan'!P155,0),ROUND(IF(AND($C280-'B. Implementation Plan'!P155&lt;1,$C280-'B. Implementation Plan'!P155&gt;0),MOD('B. Implementation Plan'!P155,1)*N244*(1-'B. Implementation Plan'!P149)*'B. Implementation Plan'!P152*'B. Implementation Plan'!P153*(1-'B. Implementation Plan'!P147)^($C280-1),N244*(1-'B. Implementation Plan'!P149)*'B. Implementation Plan'!P152*'B. Implementation Plan'!P153*(1-'B. Implementation Plan'!P147)^($C280-1)),0),0)</f>
        <v>0</v>
      </c>
      <c r="P280" s="78" t="str">
        <f t="shared" ref="P280:P288" ca="1" si="286">IF(SUM(F280:O280)&gt;0,SUM(F280:O280),"")</f>
        <v/>
      </c>
    </row>
    <row r="281" spans="3:16" s="365" customFormat="1" x14ac:dyDescent="0.3">
      <c r="C281" s="370">
        <v>3</v>
      </c>
      <c r="E281"/>
      <c r="F281"/>
      <c r="G281"/>
      <c r="H281" s="347">
        <f ca="1">IF($C281&lt;=ROUNDUP('B. Implementation Plan'!P155,0),ROUND(IF(AND($C281-'B. Implementation Plan'!P155&lt;1,$C281-'B. Implementation Plan'!P155&gt;0),MOD('B. Implementation Plan'!P155,1)*(E244+F244)*(1-'B. Implementation Plan'!P149)*'B. Implementation Plan'!P152*'B. Implementation Plan'!P153*(1-'B. Implementation Plan'!P147)^($C281-1),(E244+F244)*(1-'B. Implementation Plan'!P149)*'B. Implementation Plan'!P152*'B. Implementation Plan'!P153*(1-'B. Implementation Plan'!P147)^($C281-1)),0),0)</f>
        <v>0</v>
      </c>
      <c r="I281" s="347">
        <f ca="1">IF($C281&lt;=ROUNDUP('B. Implementation Plan'!P155,0),ROUND(IF(AND($C281-'B. Implementation Plan'!P155&lt;1,$C281-'B. Implementation Plan'!P155&gt;0),MOD('B. Implementation Plan'!P155,1)*G244*(1-'B. Implementation Plan'!P149)*'B. Implementation Plan'!P152*'B. Implementation Plan'!P153*(1-'B. Implementation Plan'!P147)^($C281-1),G244*(1-'B. Implementation Plan'!P149)*'B. Implementation Plan'!P152*'B. Implementation Plan'!P153*(1-'B. Implementation Plan'!P147)^($C281-1)),0),0)</f>
        <v>0</v>
      </c>
      <c r="J281" s="347">
        <f ca="1">IF($C281&lt;=ROUNDUP('B. Implementation Plan'!P155,0),ROUND(IF(AND($C281-'B. Implementation Plan'!P155&lt;1,$C281-'B. Implementation Plan'!P155&gt;0),MOD('B. Implementation Plan'!P155,1)*H244*(1-'B. Implementation Plan'!P149)*'B. Implementation Plan'!P152*'B. Implementation Plan'!P153*(1-'B. Implementation Plan'!P147)^($C281-1),H244*(1-'B. Implementation Plan'!P149)*'B. Implementation Plan'!P152*'B. Implementation Plan'!P153*(1-'B. Implementation Plan'!P147)^($C281-1)),0),0)</f>
        <v>0</v>
      </c>
      <c r="K281" s="347">
        <f ca="1">IF($C281&lt;=ROUNDUP('B. Implementation Plan'!P155,0),ROUND(IF(AND($C281-'B. Implementation Plan'!P155&lt;1,$C281-'B. Implementation Plan'!P155&gt;0),MOD('B. Implementation Plan'!P155,1)*I244*(1-'B. Implementation Plan'!P149)*'B. Implementation Plan'!P152*'B. Implementation Plan'!P153*(1-'B. Implementation Plan'!P147)^($C281-1),I244*(1-'B. Implementation Plan'!P149)*'B. Implementation Plan'!P152*'B. Implementation Plan'!P153*(1-'B. Implementation Plan'!P147)^($C281-1)),0),0)</f>
        <v>0</v>
      </c>
      <c r="L281" s="347">
        <f ca="1">IF($C281&lt;=ROUNDUP('B. Implementation Plan'!P155,0),ROUND(IF(AND($C281-'B. Implementation Plan'!P155&lt;1,$C281-'B. Implementation Plan'!P155&gt;0),MOD('B. Implementation Plan'!P155,1)*J244*(1-'B. Implementation Plan'!P149)*'B. Implementation Plan'!P152*'B. Implementation Plan'!P153*(1-'B. Implementation Plan'!P147)^($C281-1),J244*(1-'B. Implementation Plan'!P149)*'B. Implementation Plan'!P152*'B. Implementation Plan'!P153*(1-'B. Implementation Plan'!P147)^($C281-1)),0),0)</f>
        <v>0</v>
      </c>
      <c r="M281" s="347">
        <f ca="1">IF($C281&lt;=ROUNDUP('B. Implementation Plan'!P155,0),ROUND(IF(AND($C281-'B. Implementation Plan'!P155&lt;1,$C281-'B. Implementation Plan'!P155&gt;0),MOD('B. Implementation Plan'!P155,1)*K244*(1-'B. Implementation Plan'!P149)*'B. Implementation Plan'!P152*'B. Implementation Plan'!P153*(1-'B. Implementation Plan'!P147)^($C281-1),K244*(1-'B. Implementation Plan'!P149)*'B. Implementation Plan'!P152*'B. Implementation Plan'!P153*(1-'B. Implementation Plan'!P147)^($C281-1)),0),0)</f>
        <v>0</v>
      </c>
      <c r="N281" s="347">
        <f ca="1">IF($C281&lt;=ROUNDUP('B. Implementation Plan'!P155,0),ROUND(IF(AND($C281-'B. Implementation Plan'!P155&lt;1,$C281-'B. Implementation Plan'!P155&gt;0),MOD('B. Implementation Plan'!P155,1)*L244*(1-'B. Implementation Plan'!P149)*'B. Implementation Plan'!P152*'B. Implementation Plan'!P153*(1-'B. Implementation Plan'!P147)^($C281-1),L244*(1-'B. Implementation Plan'!P149)*'B. Implementation Plan'!P152*'B. Implementation Plan'!P153*(1-'B. Implementation Plan'!P147)^($C281-1)),0),0)</f>
        <v>0</v>
      </c>
      <c r="O281" s="347">
        <f ca="1">IF($C281&lt;=ROUNDUP('B. Implementation Plan'!P155,0),ROUND(IF(AND($C281-'B. Implementation Plan'!P155&lt;1,$C281-'B. Implementation Plan'!P155&gt;0),MOD('B. Implementation Plan'!P155,1)*M244*(1-'B. Implementation Plan'!P149)*'B. Implementation Plan'!P152*'B. Implementation Plan'!P153*(1-'B. Implementation Plan'!P147)^($C281-1),M244*(1-'B. Implementation Plan'!P149)*'B. Implementation Plan'!P152*'B. Implementation Plan'!P153*(1-'B. Implementation Plan'!P147)^($C281-1)),0),0)</f>
        <v>0</v>
      </c>
      <c r="P281" s="78" t="str">
        <f t="shared" ca="1" si="286"/>
        <v/>
      </c>
    </row>
    <row r="282" spans="3:16" s="365" customFormat="1" x14ac:dyDescent="0.3">
      <c r="C282" s="370">
        <v>4</v>
      </c>
      <c r="D282" s="365" t="s">
        <v>361</v>
      </c>
      <c r="E282"/>
      <c r="F282"/>
      <c r="G282"/>
      <c r="H282"/>
      <c r="I282" s="347">
        <f>IF($C282&lt;=ROUNDUP('B. Implementation Plan'!P155,0),ROUND(IF(AND($C282-'B. Implementation Plan'!P155&lt;1,$C282-'B. Implementation Plan'!P155&gt;0),MOD('B. Implementation Plan'!P155,1)*(E244+F244)*(1-'B. Implementation Plan'!P149)*'B. Implementation Plan'!P152*'B. Implementation Plan'!P153*(1-'B. Implementation Plan'!P147)^($C282-1),(E244+F244)*(1-'B. Implementation Plan'!P149)*'B. Implementation Plan'!P152*'B. Implementation Plan'!P153*(1-'B. Implementation Plan'!P147)^($C282-1)),0),0)</f>
        <v>0</v>
      </c>
      <c r="J282" s="347">
        <f>IF($C282&lt;=ROUNDUP('B. Implementation Plan'!P155,0),ROUND(IF(AND($C282-'B. Implementation Plan'!P155&lt;1,$C282-'B. Implementation Plan'!P155&gt;0),MOD('B. Implementation Plan'!P155,1)*G244*(1-'B. Implementation Plan'!P149)*'B. Implementation Plan'!P152*'B. Implementation Plan'!P153*(1-'B. Implementation Plan'!P147)^($C282-1),G244*(1-'B. Implementation Plan'!P149)*'B. Implementation Plan'!P152*'B. Implementation Plan'!P153*(1-'B. Implementation Plan'!P147)^($C282-1)),0),0)</f>
        <v>0</v>
      </c>
      <c r="K282" s="347">
        <f>IF($C282&lt;=ROUNDUP('B. Implementation Plan'!P155,0),ROUND(IF(AND($C282-'B. Implementation Plan'!P155&lt;1,$C282-'B. Implementation Plan'!P155&gt;0),MOD('B. Implementation Plan'!P155,1)*H244*(1-'B. Implementation Plan'!P149)*'B. Implementation Plan'!P152*'B. Implementation Plan'!P153*(1-'B. Implementation Plan'!P147)^($C282-1),H244*(1-'B. Implementation Plan'!P149)*'B. Implementation Plan'!P152*'B. Implementation Plan'!P153*(1-'B. Implementation Plan'!P147)^($C282-1)),0),0)</f>
        <v>0</v>
      </c>
      <c r="L282" s="347">
        <f>IF($C282&lt;=ROUNDUP('B. Implementation Plan'!P155,0),ROUND(IF(AND($C282-'B. Implementation Plan'!P155&lt;1,$C282-'B. Implementation Plan'!P155&gt;0),MOD('B. Implementation Plan'!P155,1)*I244*(1-'B. Implementation Plan'!P149)*'B. Implementation Plan'!P152*'B. Implementation Plan'!P153*(1-'B. Implementation Plan'!P147)^($C282-1),I244*(1-'B. Implementation Plan'!P149)*'B. Implementation Plan'!P152*'B. Implementation Plan'!P153*(1-'B. Implementation Plan'!P147)^($C282-1)),0),0)</f>
        <v>0</v>
      </c>
      <c r="M282" s="347">
        <f>IF($C282&lt;=ROUNDUP('B. Implementation Plan'!P155,0),ROUND(IF(AND($C282-'B. Implementation Plan'!P155&lt;1,$C282-'B. Implementation Plan'!P155&gt;0),MOD('B. Implementation Plan'!P155,1)*J244*(1-'B. Implementation Plan'!P149)*'B. Implementation Plan'!P152*'B. Implementation Plan'!P153*(1-'B. Implementation Plan'!P147)^($C282-1),J244*(1-'B. Implementation Plan'!P149)*'B. Implementation Plan'!P152*'B. Implementation Plan'!P153*(1-'B. Implementation Plan'!P147)^($C282-1)),0),0)</f>
        <v>0</v>
      </c>
      <c r="N282" s="347">
        <f>IF($C282&lt;=ROUNDUP('B. Implementation Plan'!P155,0),ROUND(IF(AND($C282-'B. Implementation Plan'!P155&lt;1,$C282-'B. Implementation Plan'!P155&gt;0),MOD('B. Implementation Plan'!P155,1)*K244*(1-'B. Implementation Plan'!P149)*'B. Implementation Plan'!P152*'B. Implementation Plan'!P153*(1-'B. Implementation Plan'!P147)^($C282-1),K244*(1-'B. Implementation Plan'!P149)*'B. Implementation Plan'!P152*'B. Implementation Plan'!P153*(1-'B. Implementation Plan'!P147)^($C282-1)),0),0)</f>
        <v>0</v>
      </c>
      <c r="O282" s="347">
        <f>IF($C282&lt;=ROUNDUP('B. Implementation Plan'!P155,0),ROUND(IF(AND($C282-'B. Implementation Plan'!P155&lt;1,$C282-'B. Implementation Plan'!P155&gt;0),MOD('B. Implementation Plan'!P155,1)*L244*(1-'B. Implementation Plan'!P149)*'B. Implementation Plan'!P152*'B. Implementation Plan'!P153*(1-'B. Implementation Plan'!P147)^($C282-1),L244*(1-'B. Implementation Plan'!P149)*'B. Implementation Plan'!P152*'B. Implementation Plan'!P153*(1-'B. Implementation Plan'!P147)^($C282-1)),0),0)</f>
        <v>0</v>
      </c>
      <c r="P282" s="78" t="str">
        <f t="shared" si="286"/>
        <v/>
      </c>
    </row>
    <row r="283" spans="3:16" s="365" customFormat="1" x14ac:dyDescent="0.3">
      <c r="C283" s="370">
        <v>5</v>
      </c>
      <c r="E283"/>
      <c r="F283"/>
      <c r="G283"/>
      <c r="H283"/>
      <c r="I283"/>
      <c r="J283" s="347">
        <f>IF($C283&lt;=ROUNDUP('B. Implementation Plan'!P155,0),ROUND(IF(AND($C283-'B. Implementation Plan'!P155&lt;1,$C283-'B. Implementation Plan'!P155&gt;0),MOD('B. Implementation Plan'!P155,1)*(E244+F244)*(1-'B. Implementation Plan'!P149)*'B. Implementation Plan'!P152*'B. Implementation Plan'!P153*(1-'B. Implementation Plan'!P147)^($C283-1),(E244+F244)*(1-'B. Implementation Plan'!P149)*'B. Implementation Plan'!P152*'B. Implementation Plan'!P153*(1-'B. Implementation Plan'!P147)^($C283-1)),0),0)</f>
        <v>0</v>
      </c>
      <c r="K283" s="347">
        <f>IF($C283&lt;=ROUNDUP('B. Implementation Plan'!P155,0),ROUND(IF(AND($C283-'B. Implementation Plan'!P155&lt;1,$C283-'B. Implementation Plan'!P155&gt;0),MOD('B. Implementation Plan'!P155,1)*G244*(1-'B. Implementation Plan'!P149)*'B. Implementation Plan'!P152*'B. Implementation Plan'!P153*(1-'B. Implementation Plan'!P147)^($C283-1),G244*(1-'B. Implementation Plan'!P149)*'B. Implementation Plan'!P152*'B. Implementation Plan'!P153*(1-'B. Implementation Plan'!P147)^($C283-1)),0),0)</f>
        <v>0</v>
      </c>
      <c r="L283" s="347">
        <f>IF($C283&lt;=ROUNDUP('B. Implementation Plan'!P155,0),ROUND(IF(AND($C283-'B. Implementation Plan'!P155&lt;1,$C283-'B. Implementation Plan'!P155&gt;0),MOD('B. Implementation Plan'!P155,1)*H244*(1-'B. Implementation Plan'!P149)*'B. Implementation Plan'!P152*'B. Implementation Plan'!P153*(1-'B. Implementation Plan'!P147)^($C283-1),H244*(1-'B. Implementation Plan'!P149)*'B. Implementation Plan'!P152*'B. Implementation Plan'!P153*(1-'B. Implementation Plan'!P147)^($C283-1)),0),0)</f>
        <v>0</v>
      </c>
      <c r="M283" s="347">
        <f>IF($C283&lt;=ROUNDUP('B. Implementation Plan'!P155,0),ROUND(IF(AND($C283-'B. Implementation Plan'!P155&lt;1,$C283-'B. Implementation Plan'!P155&gt;0),MOD('B. Implementation Plan'!P155,1)*I244*(1-'B. Implementation Plan'!P149)*'B. Implementation Plan'!P152*'B. Implementation Plan'!P153*(1-'B. Implementation Plan'!P147)^($C283-1),I244*(1-'B. Implementation Plan'!P149)*'B. Implementation Plan'!P152*'B. Implementation Plan'!P153*(1-'B. Implementation Plan'!P147)^($C283-1)),0),0)</f>
        <v>0</v>
      </c>
      <c r="N283" s="347">
        <f>IF($C283&lt;=ROUNDUP('B. Implementation Plan'!P155,0),ROUND(IF(AND($C283-'B. Implementation Plan'!P155&lt;1,$C283-'B. Implementation Plan'!P155&gt;0),MOD('B. Implementation Plan'!P155,1)*J244*(1-'B. Implementation Plan'!P149)*'B. Implementation Plan'!P152*'B. Implementation Plan'!P153*(1-'B. Implementation Plan'!P147)^($C283-1),J244*(1-'B. Implementation Plan'!P149)*'B. Implementation Plan'!P152*'B. Implementation Plan'!P153*(1-'B. Implementation Plan'!P147)^($C283-1)),0),0)</f>
        <v>0</v>
      </c>
      <c r="O283" s="347">
        <f>IF($C283&lt;=ROUNDUP('B. Implementation Plan'!P155,0),ROUND(IF(AND($C283-'B. Implementation Plan'!P155&lt;1,$C283-'B. Implementation Plan'!P155&gt;0),MOD('B. Implementation Plan'!P155,1)*K244*(1-'B. Implementation Plan'!P149)*'B. Implementation Plan'!P152*'B. Implementation Plan'!P153*(1-'B. Implementation Plan'!P147)^($C283-1),K244*(1-'B. Implementation Plan'!P149)*'B. Implementation Plan'!P152*'B. Implementation Plan'!P153*(1-'B. Implementation Plan'!P147)^($C283-1)),0),0)</f>
        <v>0</v>
      </c>
      <c r="P283" s="78" t="str">
        <f t="shared" si="286"/>
        <v/>
      </c>
    </row>
    <row r="284" spans="3:16" s="365" customFormat="1" x14ac:dyDescent="0.3">
      <c r="C284" s="370">
        <v>6</v>
      </c>
      <c r="E284"/>
      <c r="F284"/>
      <c r="G284"/>
      <c r="H284"/>
      <c r="I284"/>
      <c r="J284"/>
      <c r="K284" s="347">
        <f>IF($C284&lt;=ROUNDUP('B. Implementation Plan'!P155,0),ROUND(IF(AND($C284-'B. Implementation Plan'!P155&lt;1,$C284-'B. Implementation Plan'!P155&gt;0),MOD('B. Implementation Plan'!P155,1)*(E244+F244)*(1-'B. Implementation Plan'!P149)*'B. Implementation Plan'!P152*'B. Implementation Plan'!P153*(1-'B. Implementation Plan'!P147)^($C284-1),(E244+F244)*(1-'B. Implementation Plan'!P149)*'B. Implementation Plan'!P152*'B. Implementation Plan'!P153*(1-'B. Implementation Plan'!P147)^($C284-1)),0),0)</f>
        <v>0</v>
      </c>
      <c r="L284" s="347">
        <f>IF($C284&lt;=ROUNDUP('B. Implementation Plan'!P155,0),ROUND(IF(AND($C284-'B. Implementation Plan'!P155&lt;1,$C284-'B. Implementation Plan'!P155&gt;0),MOD('B. Implementation Plan'!P155,1)*G244*(1-'B. Implementation Plan'!P149)*'B. Implementation Plan'!P152*'B. Implementation Plan'!P153*(1-'B. Implementation Plan'!P147)^($C284-1),G244*(1-'B. Implementation Plan'!P149)*'B. Implementation Plan'!P152*'B. Implementation Plan'!P153*(1-'B. Implementation Plan'!P147)^($C284-1)),0),0)</f>
        <v>0</v>
      </c>
      <c r="M284" s="347">
        <f>IF($C284&lt;=ROUNDUP('B. Implementation Plan'!P155,0),ROUND(IF(AND($C284-'B. Implementation Plan'!P155&lt;1,$C284-'B. Implementation Plan'!P155&gt;0),MOD('B. Implementation Plan'!P155,1)*H244*(1-'B. Implementation Plan'!P149)*'B. Implementation Plan'!P152*'B. Implementation Plan'!P153*(1-'B. Implementation Plan'!P147)^($C284-1),H244*(1-'B. Implementation Plan'!P149)*'B. Implementation Plan'!P152*'B. Implementation Plan'!P153*(1-'B. Implementation Plan'!P147)^($C284-1)),0),0)</f>
        <v>0</v>
      </c>
      <c r="N284" s="347">
        <f>IF($C284&lt;=ROUNDUP('B. Implementation Plan'!P155,0),ROUND(IF(AND($C284-'B. Implementation Plan'!P155&lt;1,$C284-'B. Implementation Plan'!P155&gt;0),MOD('B. Implementation Plan'!P155,1)*I244*(1-'B. Implementation Plan'!P149)*'B. Implementation Plan'!P152*'B. Implementation Plan'!P153*(1-'B. Implementation Plan'!P147)^($C284-1),I244*(1-'B. Implementation Plan'!P149)*'B. Implementation Plan'!P152*'B. Implementation Plan'!P153*(1-'B. Implementation Plan'!P147)^($C284-1)),0),0)</f>
        <v>0</v>
      </c>
      <c r="O284" s="347">
        <f>IF($C284&lt;=ROUNDUP('B. Implementation Plan'!P155,0),ROUND(IF(AND($C284-'B. Implementation Plan'!P155&lt;1,$C284-'B. Implementation Plan'!P155&gt;0),MOD('B. Implementation Plan'!P155,1)*J244*(1-'B. Implementation Plan'!P149)*'B. Implementation Plan'!P152*'B. Implementation Plan'!P153*(1-'B. Implementation Plan'!P147)^($C284-1),J244*(1-'B. Implementation Plan'!P149)*'B. Implementation Plan'!P152*'B. Implementation Plan'!P153*(1-'B. Implementation Plan'!P147)^($C284-1)),0),0)</f>
        <v>0</v>
      </c>
      <c r="P284" s="78" t="str">
        <f t="shared" si="286"/>
        <v/>
      </c>
    </row>
    <row r="285" spans="3:16" s="365" customFormat="1" x14ac:dyDescent="0.3">
      <c r="C285" s="370">
        <v>7</v>
      </c>
      <c r="E285"/>
      <c r="F285"/>
      <c r="G285"/>
      <c r="H285"/>
      <c r="I285"/>
      <c r="J285"/>
      <c r="K285"/>
      <c r="L285" s="347">
        <f>IF($C285&lt;=ROUNDUP('B. Implementation Plan'!P155,0),ROUND(IF(AND($C285-'B. Implementation Plan'!P155&lt;1,$C285-'B. Implementation Plan'!P155&gt;0),MOD('B. Implementation Plan'!P155,1)*(E244+F244)*(1-'B. Implementation Plan'!P149)*'B. Implementation Plan'!P152*'B. Implementation Plan'!P153*(1-'B. Implementation Plan'!P147)^($C285-1),(E244+F244)*(1-'B. Implementation Plan'!P149)*'B. Implementation Plan'!P152*'B. Implementation Plan'!P153*(1-'B. Implementation Plan'!P147)^($C285-1)),0),0)</f>
        <v>0</v>
      </c>
      <c r="M285" s="347">
        <f>IF($C285&lt;=ROUNDUP('B. Implementation Plan'!P155,0),ROUND(IF(AND($C285-'B. Implementation Plan'!P155&lt;1,$C285-'B. Implementation Plan'!P155&gt;0),MOD('B. Implementation Plan'!P155,1)*G244*(1-'B. Implementation Plan'!P149)*'B. Implementation Plan'!P152*'B. Implementation Plan'!P153*(1-'B. Implementation Plan'!P147)^($C285-1),G244*(1-'B. Implementation Plan'!P149)*'B. Implementation Plan'!P152*'B. Implementation Plan'!P153*(1-'B. Implementation Plan'!P147)^($C285-1)),0),0)</f>
        <v>0</v>
      </c>
      <c r="N285" s="347">
        <f>IF($C285&lt;=ROUNDUP('B. Implementation Plan'!P155,0),ROUND(IF(AND($C285-'B. Implementation Plan'!P155&lt;1,$C285-'B. Implementation Plan'!P155&gt;0),MOD('B. Implementation Plan'!P155,1)*H244*(1-'B. Implementation Plan'!P149)*'B. Implementation Plan'!P152*'B. Implementation Plan'!P153*(1-'B. Implementation Plan'!P147)^($C285-1),H244*(1-'B. Implementation Plan'!P149)*'B. Implementation Plan'!P152*'B. Implementation Plan'!P153*(1-'B. Implementation Plan'!P147)^($C285-1)),0),0)</f>
        <v>0</v>
      </c>
      <c r="O285" s="347">
        <f>IF($C285&lt;=ROUNDUP('B. Implementation Plan'!P155,0),ROUND(IF(AND($C285-'B. Implementation Plan'!P155&lt;1,$C285-'B. Implementation Plan'!P155&gt;0),MOD('B. Implementation Plan'!P155,1)*I244*(1-'B. Implementation Plan'!P149)*'B. Implementation Plan'!P152*'B. Implementation Plan'!P153*(1-'B. Implementation Plan'!P147)^($C285-1),I244*(1-'B. Implementation Plan'!P149)*'B. Implementation Plan'!P152*'B. Implementation Plan'!P153*(1-'B. Implementation Plan'!P147)^($C285-1)),0),0)</f>
        <v>0</v>
      </c>
      <c r="P285" s="78" t="str">
        <f t="shared" si="286"/>
        <v/>
      </c>
    </row>
    <row r="286" spans="3:16" s="365" customFormat="1" x14ac:dyDescent="0.3">
      <c r="C286" s="370">
        <v>8</v>
      </c>
      <c r="E286"/>
      <c r="F286"/>
      <c r="G286"/>
      <c r="H286"/>
      <c r="I286"/>
      <c r="J286"/>
      <c r="K286"/>
      <c r="L286"/>
      <c r="M286" s="347">
        <f>IF($C286&lt;=ROUNDUP('B. Implementation Plan'!P155,0),ROUND(IF(AND($C286-'B. Implementation Plan'!P155&lt;1,$C286-'B. Implementation Plan'!P155&gt;0),MOD('B. Implementation Plan'!P155,1)*(E244+F244)*(1-'B. Implementation Plan'!P149)*'B. Implementation Plan'!P152*'B. Implementation Plan'!P153*(1-'B. Implementation Plan'!P147)^($C286-1),(E244+F244)*(1-'B. Implementation Plan'!P149)*'B. Implementation Plan'!P152*'B. Implementation Plan'!P153*(1-'B. Implementation Plan'!P147)^($C286-1)),0),0)</f>
        <v>0</v>
      </c>
      <c r="N286" s="347">
        <f>IF($C286&lt;=ROUNDUP('B. Implementation Plan'!P155,0),ROUND(IF(AND($C286-'B. Implementation Plan'!P155&lt;1,$C286-'B. Implementation Plan'!P155&gt;0),MOD('B. Implementation Plan'!P155,1)*G244*(1-'B. Implementation Plan'!P149)*'B. Implementation Plan'!P152*'B. Implementation Plan'!P153*(1-'B. Implementation Plan'!P147)^($C286-1),G244*(1-'B. Implementation Plan'!P149)*'B. Implementation Plan'!P152*'B. Implementation Plan'!P153*(1-'B. Implementation Plan'!P147)^($C286-1)),0),0)</f>
        <v>0</v>
      </c>
      <c r="O286" s="347">
        <f>IF($C286&lt;=ROUNDUP('B. Implementation Plan'!P155,0),ROUND(IF(AND($C286-'B. Implementation Plan'!P155&lt;1,$C286-'B. Implementation Plan'!P155&gt;0),MOD('B. Implementation Plan'!P155,1)*H244*(1-'B. Implementation Plan'!P149)*'B. Implementation Plan'!P152*'B. Implementation Plan'!P153*(1-'B. Implementation Plan'!P147)^($C286-1),H244*(1-'B. Implementation Plan'!P149)*'B. Implementation Plan'!P152*'B. Implementation Plan'!P153*(1-'B. Implementation Plan'!P147)^($C286-1)),0),0)</f>
        <v>0</v>
      </c>
      <c r="P286" s="78" t="str">
        <f t="shared" si="286"/>
        <v/>
      </c>
    </row>
    <row r="287" spans="3:16" s="365" customFormat="1" x14ac:dyDescent="0.3">
      <c r="C287" s="370">
        <v>9</v>
      </c>
      <c r="E287"/>
      <c r="F287"/>
      <c r="G287"/>
      <c r="H287"/>
      <c r="I287"/>
      <c r="J287"/>
      <c r="K287"/>
      <c r="L287"/>
      <c r="M287"/>
      <c r="N287" s="347">
        <f>IF($C287&lt;=ROUNDUP('B. Implementation Plan'!P155,0),ROUND(IF(AND($C287-'B. Implementation Plan'!P155&lt;1,$C287-'B. Implementation Plan'!P155&gt;0),MOD('B. Implementation Plan'!P155,1)*(E244+F244)*(1-'B. Implementation Plan'!P149)*'B. Implementation Plan'!P152*'B. Implementation Plan'!P153*(1-'B. Implementation Plan'!P147)^($C287-1),(E244+F244)*(1-'B. Implementation Plan'!P149)*'B. Implementation Plan'!P152*'B. Implementation Plan'!P153*(1-'B. Implementation Plan'!P147)^($C287-1)),0),0)</f>
        <v>0</v>
      </c>
      <c r="O287" s="347">
        <f>IF($C287&lt;=ROUNDUP('B. Implementation Plan'!P155,0),ROUND(IF(AND($C287-'B. Implementation Plan'!P155&lt;1,$C287-'B. Implementation Plan'!P155&gt;0),MOD('B. Implementation Plan'!P155,1)*G244*(1-'B. Implementation Plan'!P149)*'B. Implementation Plan'!P152*'B. Implementation Plan'!P153*(1-'B. Implementation Plan'!P147)^($C287-1),G244*(1-'B. Implementation Plan'!P149)*'B. Implementation Plan'!P152*'B. Implementation Plan'!P153*(1-'B. Implementation Plan'!P147)^($C287-1)),0),0)</f>
        <v>0</v>
      </c>
      <c r="P287" s="78" t="str">
        <f t="shared" si="286"/>
        <v/>
      </c>
    </row>
    <row r="288" spans="3:16" s="365" customFormat="1" x14ac:dyDescent="0.3">
      <c r="C288" s="370">
        <v>10</v>
      </c>
      <c r="E288"/>
      <c r="F288"/>
      <c r="G288"/>
      <c r="H288"/>
      <c r="I288"/>
      <c r="J288"/>
      <c r="K288"/>
      <c r="L288"/>
      <c r="M288"/>
      <c r="N288" s="19"/>
      <c r="O288" s="347">
        <f>IF($C288&lt;=ROUNDUP('B. Implementation Plan'!P155,0),ROUND(IF(AND($C288-'B. Implementation Plan'!P155&lt;1,$C288-'B. Implementation Plan'!P155&gt;0),MOD('B. Implementation Plan'!P155,1)*(E244+F244)*(1-'B. Implementation Plan'!P149)*'B. Implementation Plan'!P152*'B. Implementation Plan'!P153*(1-'B. Implementation Plan'!P147)^($C288-1),(E244+F244)*(1-'B. Implementation Plan'!P149)*'B. Implementation Plan'!P152*'B. Implementation Plan'!P153*(1-'B. Implementation Plan'!P147)^($C288-1)),0),0)</f>
        <v>0</v>
      </c>
      <c r="P288" s="78" t="str">
        <f t="shared" si="286"/>
        <v/>
      </c>
    </row>
    <row r="289" spans="3:16" s="1" customFormat="1" x14ac:dyDescent="0.3">
      <c r="C289" s="376" t="s">
        <v>482</v>
      </c>
      <c r="E289"/>
      <c r="F289" s="371">
        <f t="shared" ref="F289:O289" ca="1" si="287">IF(F239&gt;0,SUM(F279:F288),0)</f>
        <v>0</v>
      </c>
      <c r="G289" s="371">
        <f t="shared" ca="1" si="287"/>
        <v>0</v>
      </c>
      <c r="H289" s="371">
        <f t="shared" ca="1" si="287"/>
        <v>0</v>
      </c>
      <c r="I289" s="371">
        <f t="shared" ca="1" si="287"/>
        <v>0</v>
      </c>
      <c r="J289" s="371">
        <f t="shared" ca="1" si="287"/>
        <v>0</v>
      </c>
      <c r="K289" s="371">
        <f t="shared" ca="1" si="287"/>
        <v>0</v>
      </c>
      <c r="L289" s="371">
        <f t="shared" ca="1" si="287"/>
        <v>0</v>
      </c>
      <c r="M289" s="371">
        <f t="shared" ca="1" si="287"/>
        <v>0</v>
      </c>
      <c r="N289" s="371">
        <f t="shared" ca="1" si="287"/>
        <v>0</v>
      </c>
      <c r="O289" s="371">
        <f t="shared" ca="1" si="287"/>
        <v>0</v>
      </c>
      <c r="P289" s="325">
        <f ca="1">SUM(E289:O289)</f>
        <v>0</v>
      </c>
    </row>
    <row r="290" spans="3:16" s="1" customFormat="1" x14ac:dyDescent="0.3">
      <c r="C290" s="353" t="s">
        <v>469</v>
      </c>
      <c r="E290"/>
      <c r="F290" s="324">
        <f ca="1">MIN(IFERROR(ROUNDUP(IF(F239&gt;0,INDEX(F279:F288,MATCH(9.99999999999999E+307,P279:P288))/IF(MOD('B. Implementation Plan'!P155,1)=0,1,MOD('B. Implementation Plan'!P155,1)),0),0),0),MAX(E279:E288))</f>
        <v>0</v>
      </c>
      <c r="G290" s="324">
        <f ca="1">MIN(IFERROR(ROUNDUP(IF(G239&gt;0,INDEX(G279:G288,MATCH(9.99999999999999E+307,P279:P288))/IF(MOD('B. Implementation Plan'!P155,1)=0,1,MOD('B. Implementation Plan'!P155,1)),0),0),0),MAX(E279:F288))</f>
        <v>0</v>
      </c>
      <c r="H290" s="324">
        <f ca="1">MIN(IFERROR(ROUNDUP(IF(H239&gt;0,INDEX(H279:H288,MATCH(9.99999999999999E+307,P279:P288))/IF(MOD('B. Implementation Plan'!P155,1)=0,1,MOD('B. Implementation Plan'!P155,1)),0),0),0),MAX(E279:G288))</f>
        <v>0</v>
      </c>
      <c r="I290" s="324">
        <f ca="1">MIN(IFERROR(ROUNDUP(IF(I239&gt;0,INDEX(I279:I288,MATCH(9.99999999999999E+307,P279:P288))/IF(MOD('B. Implementation Plan'!P155,1)=0,1,MOD('B. Implementation Plan'!P155,1)),0),0),0),MAX(E279:H288))</f>
        <v>0</v>
      </c>
      <c r="J290" s="324">
        <f ca="1">MIN(IFERROR(ROUNDUP(IF(J239&gt;0,INDEX(J279:J288,MATCH(9.99999999999999E+307,P279:P288))/IF(MOD('B. Implementation Plan'!P155,1)=0,1,MOD('B. Implementation Plan'!P155,1)),0),0),0),MAX(E279:I288))</f>
        <v>0</v>
      </c>
      <c r="K290" s="324">
        <f ca="1">MIN(IFERROR(ROUNDUP(IF(K239&gt;0,INDEX(K279:K288,MATCH(9.99999999999999E+307,P279:P288))/IF(MOD('B. Implementation Plan'!P155,1)=0,1,MOD('B. Implementation Plan'!P155,1)),0),0),0),MAX(E279:J288))</f>
        <v>0</v>
      </c>
      <c r="L290" s="324">
        <f ca="1">MIN(IFERROR(ROUNDUP(IF(L239&gt;0,INDEX(L279:L288,MATCH(9.99999999999999E+307,P279:P288))/IF(MOD('B. Implementation Plan'!P155,1)=0,1,MOD('B. Implementation Plan'!P155,1)),0),0),0),MAX(E279:K288))</f>
        <v>0</v>
      </c>
      <c r="M290" s="324">
        <f ca="1">MIN(IFERROR(ROUNDUP(IF(M239&gt;0,INDEX(M279:M288,MATCH(9.99999999999999E+307,P279:P288))/IF(MOD('B. Implementation Plan'!P155,1)=0,1,MOD('B. Implementation Plan'!P155,1)),0),0),0),MAX(E279:L288))</f>
        <v>0</v>
      </c>
      <c r="N290" s="324">
        <f ca="1">MIN(IFERROR(ROUNDUP(IF(N239&gt;0,INDEX(N279:N288,MATCH(9.99999999999999E+307,P279:P288))/IF(MOD('B. Implementation Plan'!P155,1)=0,1,MOD('B. Implementation Plan'!P155,1)),0),0),0),MAX(E279:M288))</f>
        <v>0</v>
      </c>
      <c r="O290" s="324">
        <f ca="1">MIN(IFERROR(ROUNDUP(IF(O239&gt;0,INDEX(O279:O288,MATCH(9.99999999999999E+307,P279:P288))/IF(MOD('B. Implementation Plan'!P155,1)=0,1,MOD('B. Implementation Plan'!P155,1)),0),0),0),MAX(E279:N288))</f>
        <v>0</v>
      </c>
      <c r="P290" s="325">
        <f ca="1">SUM(E290:O290)</f>
        <v>0</v>
      </c>
    </row>
    <row r="291" spans="3:16" s="365" customFormat="1" x14ac:dyDescent="0.3">
      <c r="C291" s="326" t="s">
        <v>470</v>
      </c>
      <c r="E291"/>
      <c r="F291" s="347">
        <f ca="1">ROUNDUP(IF(F239&gt;0,IF(SUM(E290:F290,E291:E291)*'B. Implementation Plan'!P147&gt;P290,0,-ROUND(SUM(E290:F290,E291:E291)*'B. Implementation Plan'!P147,0)),0),0)</f>
        <v>0</v>
      </c>
      <c r="G291" s="347">
        <f ca="1">ROUNDUP(IF(G239&gt;0,IF(SUM(E290:G290,E291:F291)*'B. Implementation Plan'!P147&gt;P290,0,-ROUND(SUM(E290:G290,E291:F291)*'B. Implementation Plan'!P147,0)),0),0)</f>
        <v>0</v>
      </c>
      <c r="H291" s="347">
        <f ca="1">ROUNDUP(IF(H239&gt;0,IF(SUM(E290:H290,E291:G291)*'B. Implementation Plan'!P147&gt;P290,0,-ROUND(SUM(E290:H290,E291:G291)*'B. Implementation Plan'!P147,0)),0),0)</f>
        <v>0</v>
      </c>
      <c r="I291" s="347">
        <f ca="1">ROUNDUP(IF(I239&gt;0,IF(SUM(E290:I290,E291:H291)*'B. Implementation Plan'!P147&gt;P290,0,-ROUND(SUM(E290:I290,E291:H291)*'B. Implementation Plan'!P147,0)),0),0)</f>
        <v>0</v>
      </c>
      <c r="J291" s="347">
        <f ca="1">ROUNDUP(IF(J239&gt;0,IF(SUM(E290:J290,E291:I291)*'B. Implementation Plan'!P147&gt;P290,0,-ROUND(SUM(E290:J290,E291:I291)*'B. Implementation Plan'!P147,0)),0),0)</f>
        <v>0</v>
      </c>
      <c r="K291" s="347">
        <f ca="1">ROUNDUP(IF(K239&gt;0,IF(SUM(E290:K290,E291:J291)*'B. Implementation Plan'!P147&gt;P290,0,-ROUND(SUM(E290:K290,E291:J291)*'B. Implementation Plan'!P147,0)),0),0)</f>
        <v>0</v>
      </c>
      <c r="L291" s="347">
        <f ca="1">ROUNDUP(IF(L239&gt;0,IF(SUM(E290:L290,E291:K291)*'B. Implementation Plan'!P147&gt;P290,0,-ROUND(SUM(E290:L290,E291:K291)*'B. Implementation Plan'!P147,0)),0),0)</f>
        <v>0</v>
      </c>
      <c r="M291" s="347">
        <f ca="1">ROUNDUP(IF(M239&gt;0,IF(SUM(E290:M290,E291:L291)*'B. Implementation Plan'!P147&gt;P290,0,-ROUND(SUM(E290:M290,E291:L291)*'B. Implementation Plan'!P147,0)),0),0)</f>
        <v>0</v>
      </c>
      <c r="N291" s="347">
        <f ca="1">ROUNDUP(IF(N239&gt;0,IF(SUM(E290:N290,E291:M291)*'B. Implementation Plan'!P147&gt;P290,0,-ROUND(SUM(E290:N290,E291:M291)*'B. Implementation Plan'!P147,0)),0),0)</f>
        <v>0</v>
      </c>
      <c r="O291" s="347">
        <f ca="1">ROUNDUP(IF(O239&gt;0,IF(SUM(E290:O290,E291:N291)*'B. Implementation Plan'!P147&gt;P290,0,-ROUND(SUM(E290:O290,E291:N291)*'B. Implementation Plan'!P147,0)),0),0)</f>
        <v>0</v>
      </c>
      <c r="P291" s="354">
        <f ca="1">SUM(E291:O291)</f>
        <v>0</v>
      </c>
    </row>
    <row r="292" spans="3:16" s="365" customFormat="1" ht="15" thickBot="1" x14ac:dyDescent="0.35">
      <c r="C292" s="326" t="s">
        <v>471</v>
      </c>
      <c r="E292"/>
      <c r="F292" s="347">
        <f ca="1">IF(F239&gt;0,SUM(E290:F291),0)</f>
        <v>0</v>
      </c>
      <c r="G292" s="347">
        <f ca="1">IF(G239&gt;0,SUM(E290:G291),0)</f>
        <v>0</v>
      </c>
      <c r="H292" s="347">
        <f ca="1">IF(H239&gt;0,SUM(E290:H291),0)</f>
        <v>0</v>
      </c>
      <c r="I292" s="347">
        <f ca="1">IF(I239&gt;0,SUM(E290:I291),0)</f>
        <v>0</v>
      </c>
      <c r="J292" s="347">
        <f ca="1">IF(J239&gt;0,SUM(E290:J291),0)</f>
        <v>0</v>
      </c>
      <c r="K292" s="347">
        <f ca="1">IF(K239&gt;0,SUM(E290:K291),0)</f>
        <v>0</v>
      </c>
      <c r="L292" s="347">
        <f ca="1">IF(L239&gt;0,SUM(E290:L291),0)</f>
        <v>0</v>
      </c>
      <c r="M292" s="347">
        <f ca="1">IF(M239&gt;0,SUM(E290:M291),0)</f>
        <v>0</v>
      </c>
      <c r="N292" s="347">
        <f ca="1">IF(N239&gt;0,SUM(E290:N291),0)</f>
        <v>0</v>
      </c>
      <c r="O292" s="369">
        <f ca="1">IF(O239&gt;0,SUM(E290:O291),0)</f>
        <v>0</v>
      </c>
      <c r="P292" s="375">
        <f t="shared" ref="P292" ca="1" si="288">IF(O292=0,IF(N292=0,IF(M292=0,IF(L292=0,IF(K292=0,IF(J292=0,IF(I292=0,IF(H292=0,IF(G292=0,IF(F292=0,E292,F292),G292),H292),I292),J292),K292),L292),M292),N292),O292)</f>
        <v>0</v>
      </c>
    </row>
    <row r="293" spans="3:16" ht="15" thickBot="1" x14ac:dyDescent="0.35">
      <c r="C293" s="59" t="s">
        <v>467</v>
      </c>
    </row>
    <row r="294" spans="3:16" ht="15.6" x14ac:dyDescent="0.3">
      <c r="C294" s="326" t="s">
        <v>468</v>
      </c>
      <c r="F294" s="149">
        <v>1</v>
      </c>
      <c r="G294" s="149">
        <v>2</v>
      </c>
      <c r="H294" s="149">
        <v>3</v>
      </c>
      <c r="I294" s="149">
        <v>4</v>
      </c>
      <c r="J294" s="149">
        <v>5</v>
      </c>
      <c r="K294" s="149">
        <v>6</v>
      </c>
      <c r="L294" s="149">
        <v>7</v>
      </c>
      <c r="M294" s="149">
        <v>8</v>
      </c>
      <c r="N294" s="149">
        <v>9</v>
      </c>
      <c r="O294" s="374">
        <v>10</v>
      </c>
      <c r="P294" s="351" t="s">
        <v>2</v>
      </c>
    </row>
    <row r="295" spans="3:16" s="365" customFormat="1" x14ac:dyDescent="0.3">
      <c r="C295" s="370">
        <v>1</v>
      </c>
      <c r="E295"/>
      <c r="F295" s="347">
        <f ca="1">IF($C295&lt;=ROUNDUP('B. Implementation Plan'!P156,0),ROUND(IF(AND($C295-'B. Implementation Plan'!P156&lt;1,$C295-'B. Implementation Plan'!P156&gt;0),MOD('B. Implementation Plan'!P156,1)*(E244+F244)*(1-'B. Implementation Plan'!P149)*'B. Implementation Plan'!P152*'B. Implementation Plan'!P154*(1-'B. Implementation Plan'!P147)^($C295-1),(E244+F244)*(1-'B. Implementation Plan'!P149)*'B. Implementation Plan'!P152*'B. Implementation Plan'!P154*(1-'B. Implementation Plan'!P147)^($C295-1)),0),0)</f>
        <v>0</v>
      </c>
      <c r="G295" s="347">
        <f ca="1">IF($C295&lt;=ROUNDUP('B. Implementation Plan'!P156,0),ROUND(IF(AND($C295-'B. Implementation Plan'!P156&lt;1,$C295-'B. Implementation Plan'!P156&gt;0),MOD('B. Implementation Plan'!P156,1)*G244*(1-'B. Implementation Plan'!P149)*'B. Implementation Plan'!P152*'B. Implementation Plan'!P154*(1-'B. Implementation Plan'!P147)^($C295-1),G244*(1-'B. Implementation Plan'!P149)*'B. Implementation Plan'!P152*'B. Implementation Plan'!P154*(1-'B. Implementation Plan'!P147)^($C295-1)),0),0)</f>
        <v>0</v>
      </c>
      <c r="H295" s="347">
        <f ca="1">IF($C295&lt;=ROUNDUP('B. Implementation Plan'!P156,0),ROUND(IF(AND($C295-'B. Implementation Plan'!P156&lt;1,$C295-'B. Implementation Plan'!P156&gt;0),MOD('B. Implementation Plan'!P156,1)*H244*(1-'B. Implementation Plan'!P149)*'B. Implementation Plan'!P152*'B. Implementation Plan'!P154*(1-'B. Implementation Plan'!P147)^($C295-1),H244*(1-'B. Implementation Plan'!P149)*'B. Implementation Plan'!P152*'B. Implementation Plan'!P154*(1-'B. Implementation Plan'!P147)^($C295-1)),0),0)</f>
        <v>0</v>
      </c>
      <c r="I295" s="347">
        <f ca="1">IF($C295&lt;=ROUNDUP('B. Implementation Plan'!P156,0),ROUND(IF(AND($C295-'B. Implementation Plan'!P156&lt;1,$C295-'B. Implementation Plan'!P156&gt;0),MOD('B. Implementation Plan'!P156,1)*I244*(1-'B. Implementation Plan'!P149)*'B. Implementation Plan'!P152*'B. Implementation Plan'!P154*(1-'B. Implementation Plan'!P147)^($C295-1),I244*(1-'B. Implementation Plan'!P149)*'B. Implementation Plan'!P152*'B. Implementation Plan'!P154*(1-'B. Implementation Plan'!P147)^($C295-1)),0),0)</f>
        <v>0</v>
      </c>
      <c r="J295" s="347">
        <f ca="1">IF($C295&lt;=ROUNDUP('B. Implementation Plan'!P156,0),ROUND(IF(AND($C295-'B. Implementation Plan'!P156&lt;1,$C295-'B. Implementation Plan'!P156&gt;0),MOD('B. Implementation Plan'!P156,1)*J244*(1-'B. Implementation Plan'!P149)*'B. Implementation Plan'!P152*'B. Implementation Plan'!P154*(1-'B. Implementation Plan'!P147)^($C295-1),J244*(1-'B. Implementation Plan'!P149)*'B. Implementation Plan'!P152*'B. Implementation Plan'!P154*(1-'B. Implementation Plan'!P147)^($C295-1)),0),0)</f>
        <v>0</v>
      </c>
      <c r="K295" s="347">
        <f ca="1">IF($C295&lt;=ROUNDUP('B. Implementation Plan'!P156,0),ROUND(IF(AND($C295-'B. Implementation Plan'!P156&lt;1,$C295-'B. Implementation Plan'!P156&gt;0),MOD('B. Implementation Plan'!P156,1)*K244*(1-'B. Implementation Plan'!P149)*'B. Implementation Plan'!P152*'B. Implementation Plan'!P154*(1-'B. Implementation Plan'!P147)^($C295-1),K244*(1-'B. Implementation Plan'!P149)*'B. Implementation Plan'!P152*'B. Implementation Plan'!P154*(1-'B. Implementation Plan'!P147)^($C295-1)),0),0)</f>
        <v>0</v>
      </c>
      <c r="L295" s="347">
        <f ca="1">IF($C295&lt;=ROUNDUP('B. Implementation Plan'!P156,0),ROUND(IF(AND($C295-'B. Implementation Plan'!P156&lt;1,$C295-'B. Implementation Plan'!P156&gt;0),MOD('B. Implementation Plan'!P156,1)*L244*(1-'B. Implementation Plan'!P149)*'B. Implementation Plan'!P152*'B. Implementation Plan'!P154*(1-'B. Implementation Plan'!P147)^($C295-1),L244*(1-'B. Implementation Plan'!P149)*'B. Implementation Plan'!P152*'B. Implementation Plan'!P154*(1-'B. Implementation Plan'!P147)^($C295-1)),0),0)</f>
        <v>0</v>
      </c>
      <c r="M295" s="347">
        <f ca="1">IF($C295&lt;=ROUNDUP('B. Implementation Plan'!P156,0),ROUND(IF(AND($C295-'B. Implementation Plan'!P156&lt;1,$C295-'B. Implementation Plan'!P156&gt;0),MOD('B. Implementation Plan'!P156,1)*M244*(1-'B. Implementation Plan'!P149)*'B. Implementation Plan'!P152*'B. Implementation Plan'!P154*(1-'B. Implementation Plan'!P147)^($C295-1),M244*(1-'B. Implementation Plan'!P149)*'B. Implementation Plan'!P152*'B. Implementation Plan'!P154*(1-'B. Implementation Plan'!P147)^($C295-1)),0),0)</f>
        <v>0</v>
      </c>
      <c r="N295" s="347">
        <f ca="1">IF($C295&lt;=ROUNDUP('B. Implementation Plan'!P156,0),ROUND(IF(AND($C295-'B. Implementation Plan'!P156&lt;1,$C295-'B. Implementation Plan'!P156&gt;0),MOD('B. Implementation Plan'!P156,1)*N244*(1-'B. Implementation Plan'!P149)*'B. Implementation Plan'!P152*'B. Implementation Plan'!P154*(1-'B. Implementation Plan'!P147)^($C295-1),N244*(1-'B. Implementation Plan'!P149)*'B. Implementation Plan'!P152*'B. Implementation Plan'!P154*(1-'B. Implementation Plan'!P147)^($C295-1)),0),0)</f>
        <v>0</v>
      </c>
      <c r="O295" s="347">
        <f ca="1">IF($C295&lt;=ROUNDUP('B. Implementation Plan'!P156,0),ROUND(IF(AND($C295-'B. Implementation Plan'!P156&lt;1,$C295-'B. Implementation Plan'!P156&gt;0),MOD('B. Implementation Plan'!P156,1)*O244*(1-'B. Implementation Plan'!P149)*'B. Implementation Plan'!P152*'B. Implementation Plan'!P154*(1-'B. Implementation Plan'!P147)^($C295-1),O244*(1-'B. Implementation Plan'!P149)*'B. Implementation Plan'!P152*'B. Implementation Plan'!P154*(1-'B. Implementation Plan'!P147)^($C295-1)),0),0)</f>
        <v>0</v>
      </c>
      <c r="P295" s="78" t="str">
        <f ca="1">IF(SUM(F295:O295)&gt;0,SUM(F295:O295),"")</f>
        <v/>
      </c>
    </row>
    <row r="296" spans="3:16" s="365" customFormat="1" x14ac:dyDescent="0.3">
      <c r="C296" s="370">
        <v>2</v>
      </c>
      <c r="E296"/>
      <c r="F296"/>
      <c r="G296" s="347">
        <f ca="1">IF($C296&lt;=ROUNDUP('B. Implementation Plan'!P156,0),ROUND(IF(AND($C296-'B. Implementation Plan'!P156&lt;1,$C296-'B. Implementation Plan'!P156&gt;0),MOD('B. Implementation Plan'!P156,1)*(E244+F244)*(1-'B. Implementation Plan'!P149)*'B. Implementation Plan'!P152*'B. Implementation Plan'!P154*(1-'B. Implementation Plan'!P147)^($C296-1),(E244+F244)*(1-'B. Implementation Plan'!P149)*'B. Implementation Plan'!P152*'B. Implementation Plan'!P154*(1-'B. Implementation Plan'!P147)^($C296-1)),0),0)</f>
        <v>0</v>
      </c>
      <c r="H296" s="347">
        <f ca="1">IF($C296&lt;=ROUNDUP('B. Implementation Plan'!P156,0),ROUND(IF(AND($C296-'B. Implementation Plan'!P156&lt;1,$C296-'B. Implementation Plan'!P156&gt;0),MOD('B. Implementation Plan'!P156,1)*G244*(1-'B. Implementation Plan'!P149)*'B. Implementation Plan'!P152*'B. Implementation Plan'!P154*(1-'B. Implementation Plan'!P147)^($C296-1),G244*(1-'B. Implementation Plan'!P149)*'B. Implementation Plan'!P152*'B. Implementation Plan'!P154*(1-'B. Implementation Plan'!P147)^($C296-1)),0),0)</f>
        <v>0</v>
      </c>
      <c r="I296" s="347">
        <f ca="1">IF($C296&lt;=ROUNDUP('B. Implementation Plan'!P156,0),ROUND(IF(AND($C296-'B. Implementation Plan'!P156&lt;1,$C296-'B. Implementation Plan'!P156&gt;0),MOD('B. Implementation Plan'!P156,1)*H244*(1-'B. Implementation Plan'!P149)*'B. Implementation Plan'!P152*'B. Implementation Plan'!P154*(1-'B. Implementation Plan'!P147)^($C296-1),H244*(1-'B. Implementation Plan'!P149)*'B. Implementation Plan'!P152*'B. Implementation Plan'!P154*(1-'B. Implementation Plan'!P147)^($C296-1)),0),0)</f>
        <v>0</v>
      </c>
      <c r="J296" s="347">
        <f ca="1">IF($C296&lt;=ROUNDUP('B. Implementation Plan'!P156,0),ROUND(IF(AND($C296-'B. Implementation Plan'!P156&lt;1,$C296-'B. Implementation Plan'!P156&gt;0),MOD('B. Implementation Plan'!P156,1)*I244*(1-'B. Implementation Plan'!P149)*'B. Implementation Plan'!P152*'B. Implementation Plan'!P154*(1-'B. Implementation Plan'!P147)^($C296-1),I244*(1-'B. Implementation Plan'!P149)*'B. Implementation Plan'!P152*'B. Implementation Plan'!P154*(1-'B. Implementation Plan'!P147)^($C296-1)),0),0)</f>
        <v>0</v>
      </c>
      <c r="K296" s="347">
        <f ca="1">IF($C296&lt;=ROUNDUP('B. Implementation Plan'!P156,0),ROUND(IF(AND($C296-'B. Implementation Plan'!P156&lt;1,$C296-'B. Implementation Plan'!P156&gt;0),MOD('B. Implementation Plan'!P156,1)*J244*(1-'B. Implementation Plan'!P149)*'B. Implementation Plan'!P152*'B. Implementation Plan'!P154*(1-'B. Implementation Plan'!P147)^($C296-1),J244*(1-'B. Implementation Plan'!P149)*'B. Implementation Plan'!P152*'B. Implementation Plan'!P154*(1-'B. Implementation Plan'!P147)^($C296-1)),0),0)</f>
        <v>0</v>
      </c>
      <c r="L296" s="347">
        <f ca="1">IF($C296&lt;=ROUNDUP('B. Implementation Plan'!P156,0),ROUND(IF(AND($C296-'B. Implementation Plan'!P156&lt;1,$C296-'B. Implementation Plan'!P156&gt;0),MOD('B. Implementation Plan'!P156,1)*K244*(1-'B. Implementation Plan'!P149)*'B. Implementation Plan'!P152*'B. Implementation Plan'!P154*(1-'B. Implementation Plan'!P147)^($C296-1),K244*(1-'B. Implementation Plan'!P149)*'B. Implementation Plan'!P152*'B. Implementation Plan'!P154*(1-'B. Implementation Plan'!P147)^($C296-1)),0),0)</f>
        <v>0</v>
      </c>
      <c r="M296" s="347">
        <f ca="1">IF($C296&lt;=ROUNDUP('B. Implementation Plan'!P156,0),ROUND(IF(AND($C296-'B. Implementation Plan'!P156&lt;1,$C296-'B. Implementation Plan'!P156&gt;0),MOD('B. Implementation Plan'!P156,1)*L244*(1-'B. Implementation Plan'!P149)*'B. Implementation Plan'!P152*'B. Implementation Plan'!P154*(1-'B. Implementation Plan'!P147)^($C296-1),L244*(1-'B. Implementation Plan'!P149)*'B. Implementation Plan'!P152*'B. Implementation Plan'!P154*(1-'B. Implementation Plan'!P147)^($C296-1)),0),0)</f>
        <v>0</v>
      </c>
      <c r="N296" s="347">
        <f ca="1">IF($C296&lt;=ROUNDUP('B. Implementation Plan'!P156,0),ROUND(IF(AND($C296-'B. Implementation Plan'!P156&lt;1,$C296-'B. Implementation Plan'!P156&gt;0),MOD('B. Implementation Plan'!P156,1)*M244*(1-'B. Implementation Plan'!P149)*'B. Implementation Plan'!P152*'B. Implementation Plan'!P154*(1-'B. Implementation Plan'!P147)^($C296-1),M244*(1-'B. Implementation Plan'!P149)*'B. Implementation Plan'!P152*'B. Implementation Plan'!P154*(1-'B. Implementation Plan'!P147)^($C296-1)),0),0)</f>
        <v>0</v>
      </c>
      <c r="O296" s="347">
        <f ca="1">IF($C296&lt;=ROUNDUP('B. Implementation Plan'!P156,0),ROUND(IF(AND($C296-'B. Implementation Plan'!P156&lt;1,$C296-'B. Implementation Plan'!P156&gt;0),MOD('B. Implementation Plan'!P156,1)*N244*(1-'B. Implementation Plan'!P149)*'B. Implementation Plan'!P152*'B. Implementation Plan'!P154*(1-'B. Implementation Plan'!P147)^($C296-1),N244*(1-'B. Implementation Plan'!P149)*'B. Implementation Plan'!P152*'B. Implementation Plan'!P154*(1-'B. Implementation Plan'!P147)^($C296-1)),0),0)</f>
        <v>0</v>
      </c>
      <c r="P296" s="78" t="str">
        <f t="shared" ref="P296:P304" ca="1" si="289">IF(SUM(F296:O296)&gt;0,SUM(F296:O296),"")</f>
        <v/>
      </c>
    </row>
    <row r="297" spans="3:16" s="365" customFormat="1" x14ac:dyDescent="0.3">
      <c r="C297" s="370">
        <v>3</v>
      </c>
      <c r="E297"/>
      <c r="F297"/>
      <c r="G297"/>
      <c r="H297" s="347">
        <f ca="1">IF($C297&lt;=ROUNDUP('B. Implementation Plan'!P156,0),ROUND(IF(AND($C297-'B. Implementation Plan'!P156&lt;1,$C297-'B. Implementation Plan'!P156&gt;0),MOD('B. Implementation Plan'!P156,1)*(E244+F244)*(1-'B. Implementation Plan'!P149)*'B. Implementation Plan'!P152*'B. Implementation Plan'!P154*(1-'B. Implementation Plan'!P147)^($C297-1),(E244+F244)*(1-'B. Implementation Plan'!P149)*'B. Implementation Plan'!P152*'B. Implementation Plan'!P154*(1-'B. Implementation Plan'!P147)^($C297-1)),0),0)</f>
        <v>0</v>
      </c>
      <c r="I297" s="347">
        <f ca="1">IF($C297&lt;=ROUNDUP('B. Implementation Plan'!P156,0),ROUND(IF(AND($C297-'B. Implementation Plan'!P156&lt;1,$C297-'B. Implementation Plan'!P156&gt;0),MOD('B. Implementation Plan'!P156,1)*G244*(1-'B. Implementation Plan'!P149)*'B. Implementation Plan'!P152*'B. Implementation Plan'!P154*(1-'B. Implementation Plan'!P147)^($C297-1),G244*(1-'B. Implementation Plan'!P149)*'B. Implementation Plan'!P152*'B. Implementation Plan'!P154*(1-'B. Implementation Plan'!P147)^($C297-1)),0),0)</f>
        <v>0</v>
      </c>
      <c r="J297" s="347">
        <f ca="1">IF($C297&lt;=ROUNDUP('B. Implementation Plan'!P156,0),ROUND(IF(AND($C297-'B. Implementation Plan'!P156&lt;1,$C297-'B. Implementation Plan'!P156&gt;0),MOD('B. Implementation Plan'!P156,1)*H244*(1-'B. Implementation Plan'!P149)*'B. Implementation Plan'!P152*'B. Implementation Plan'!P154*(1-'B. Implementation Plan'!P147)^($C297-1),H244*(1-'B. Implementation Plan'!P149)*'B. Implementation Plan'!P152*'B. Implementation Plan'!P154*(1-'B. Implementation Plan'!P147)^($C297-1)),0),0)</f>
        <v>0</v>
      </c>
      <c r="K297" s="347">
        <f ca="1">IF($C297&lt;=ROUNDUP('B. Implementation Plan'!P156,0),ROUND(IF(AND($C297-'B. Implementation Plan'!P156&lt;1,$C297-'B. Implementation Plan'!P156&gt;0),MOD('B. Implementation Plan'!P156,1)*I244*(1-'B. Implementation Plan'!P149)*'B. Implementation Plan'!P152*'B. Implementation Plan'!P154*(1-'B. Implementation Plan'!P147)^($C297-1),I244*(1-'B. Implementation Plan'!P149)*'B. Implementation Plan'!P152*'B. Implementation Plan'!P154*(1-'B. Implementation Plan'!P147)^($C297-1)),0),0)</f>
        <v>0</v>
      </c>
      <c r="L297" s="347">
        <f ca="1">IF($C297&lt;=ROUNDUP('B. Implementation Plan'!P156,0),ROUND(IF(AND($C297-'B. Implementation Plan'!P156&lt;1,$C297-'B. Implementation Plan'!P156&gt;0),MOD('B. Implementation Plan'!P156,1)*J244*(1-'B. Implementation Plan'!P149)*'B. Implementation Plan'!P152*'B. Implementation Plan'!P154*(1-'B. Implementation Plan'!P147)^($C297-1),J244*(1-'B. Implementation Plan'!P149)*'B. Implementation Plan'!P152*'B. Implementation Plan'!P154*(1-'B. Implementation Plan'!P147)^($C297-1)),0),0)</f>
        <v>0</v>
      </c>
      <c r="M297" s="347">
        <f ca="1">IF($C297&lt;=ROUNDUP('B. Implementation Plan'!P156,0),ROUND(IF(AND($C297-'B. Implementation Plan'!P156&lt;1,$C297-'B. Implementation Plan'!P156&gt;0),MOD('B. Implementation Plan'!P156,1)*K244*(1-'B. Implementation Plan'!P149)*'B. Implementation Plan'!P152*'B. Implementation Plan'!P154*(1-'B. Implementation Plan'!P147)^($C297-1),K244*(1-'B. Implementation Plan'!P149)*'B. Implementation Plan'!P152*'B. Implementation Plan'!P154*(1-'B. Implementation Plan'!P147)^($C297-1)),0),0)</f>
        <v>0</v>
      </c>
      <c r="N297" s="347">
        <f ca="1">IF($C297&lt;=ROUNDUP('B. Implementation Plan'!P156,0),ROUND(IF(AND($C297-'B. Implementation Plan'!P156&lt;1,$C297-'B. Implementation Plan'!P156&gt;0),MOD('B. Implementation Plan'!P156,1)*L244*(1-'B. Implementation Plan'!P149)*'B. Implementation Plan'!P152*'B. Implementation Plan'!P154*(1-'B. Implementation Plan'!P147)^($C297-1),L244*(1-'B. Implementation Plan'!P149)*'B. Implementation Plan'!P152*'B. Implementation Plan'!P154*(1-'B. Implementation Plan'!P147)^($C297-1)),0),0)</f>
        <v>0</v>
      </c>
      <c r="O297" s="347">
        <f ca="1">IF($C297&lt;=ROUNDUP('B. Implementation Plan'!P156,0),ROUND(IF(AND($C297-'B. Implementation Plan'!P156&lt;1,$C297-'B. Implementation Plan'!P156&gt;0),MOD('B. Implementation Plan'!P156,1)*M244*(1-'B. Implementation Plan'!P149)*'B. Implementation Plan'!P152*'B. Implementation Plan'!P154*(1-'B. Implementation Plan'!P147)^($C297-1),M244*(1-'B. Implementation Plan'!P149)*'B. Implementation Plan'!P152*'B. Implementation Plan'!P154*(1-'B. Implementation Plan'!P147)^($C297-1)),0),0)</f>
        <v>0</v>
      </c>
      <c r="P297" s="78" t="str">
        <f t="shared" ca="1" si="289"/>
        <v/>
      </c>
    </row>
    <row r="298" spans="3:16" s="365" customFormat="1" x14ac:dyDescent="0.3">
      <c r="C298" s="370">
        <v>4</v>
      </c>
      <c r="D298" s="365" t="s">
        <v>361</v>
      </c>
      <c r="E298"/>
      <c r="F298"/>
      <c r="G298"/>
      <c r="H298"/>
      <c r="I298" s="347">
        <f ca="1">IF($C298&lt;=ROUNDUP('B. Implementation Plan'!P156,0),ROUND(IF(AND($C298-'B. Implementation Plan'!P156&lt;1,$C298-'B. Implementation Plan'!P156&gt;0),MOD('B. Implementation Plan'!P156,1)*(E244+F244)*(1-'B. Implementation Plan'!P149)*'B. Implementation Plan'!P152*'B. Implementation Plan'!P154*(1-'B. Implementation Plan'!P147)^($C298-1),(E244+F244)*(1-'B. Implementation Plan'!P149)*'B. Implementation Plan'!P152*'B. Implementation Plan'!P154*(1-'B. Implementation Plan'!P147)^($C298-1)),0),0)</f>
        <v>0</v>
      </c>
      <c r="J298" s="347">
        <f ca="1">IF($C298&lt;=ROUNDUP('B. Implementation Plan'!P156,0),ROUND(IF(AND($C298-'B. Implementation Plan'!P156&lt;1,$C298-'B. Implementation Plan'!P156&gt;0),MOD('B. Implementation Plan'!P156,1)*G244*(1-'B. Implementation Plan'!P149)*'B. Implementation Plan'!P152*'B. Implementation Plan'!P154*(1-'B. Implementation Plan'!P147)^($C298-1),G244*(1-'B. Implementation Plan'!P149)*'B. Implementation Plan'!P152*'B. Implementation Plan'!P154*(1-'B. Implementation Plan'!P147)^($C298-1)),0),0)</f>
        <v>0</v>
      </c>
      <c r="K298" s="347">
        <f ca="1">IF($C298&lt;=ROUNDUP('B. Implementation Plan'!P156,0),ROUND(IF(AND($C298-'B. Implementation Plan'!P156&lt;1,$C298-'B. Implementation Plan'!P156&gt;0),MOD('B. Implementation Plan'!P156,1)*H244*(1-'B. Implementation Plan'!P149)*'B. Implementation Plan'!P152*'B. Implementation Plan'!P154*(1-'B. Implementation Plan'!P147)^($C298-1),H244*(1-'B. Implementation Plan'!P149)*'B. Implementation Plan'!P152*'B. Implementation Plan'!P154*(1-'B. Implementation Plan'!P147)^($C298-1)),0),0)</f>
        <v>0</v>
      </c>
      <c r="L298" s="347">
        <f ca="1">IF($C298&lt;=ROUNDUP('B. Implementation Plan'!P156,0),ROUND(IF(AND($C298-'B. Implementation Plan'!P156&lt;1,$C298-'B. Implementation Plan'!P156&gt;0),MOD('B. Implementation Plan'!P156,1)*I244*(1-'B. Implementation Plan'!P149)*'B. Implementation Plan'!P152*'B. Implementation Plan'!P154*(1-'B. Implementation Plan'!P147)^($C298-1),I244*(1-'B. Implementation Plan'!P149)*'B. Implementation Plan'!P152*'B. Implementation Plan'!P154*(1-'B. Implementation Plan'!P147)^($C298-1)),0),0)</f>
        <v>0</v>
      </c>
      <c r="M298" s="347">
        <f ca="1">IF($C298&lt;=ROUNDUP('B. Implementation Plan'!P156,0),ROUND(IF(AND($C298-'B. Implementation Plan'!P156&lt;1,$C298-'B. Implementation Plan'!P156&gt;0),MOD('B. Implementation Plan'!P156,1)*J244*(1-'B. Implementation Plan'!P149)*'B. Implementation Plan'!P152*'B. Implementation Plan'!P154*(1-'B. Implementation Plan'!P147)^($C298-1),J244*(1-'B. Implementation Plan'!P149)*'B. Implementation Plan'!P152*'B. Implementation Plan'!P154*(1-'B. Implementation Plan'!P147)^($C298-1)),0),0)</f>
        <v>0</v>
      </c>
      <c r="N298" s="347">
        <f ca="1">IF($C298&lt;=ROUNDUP('B. Implementation Plan'!P156,0),ROUND(IF(AND($C298-'B. Implementation Plan'!P156&lt;1,$C298-'B. Implementation Plan'!P156&gt;0),MOD('B. Implementation Plan'!P156,1)*K244*(1-'B. Implementation Plan'!P149)*'B. Implementation Plan'!P152*'B. Implementation Plan'!P154*(1-'B. Implementation Plan'!P147)^($C298-1),K244*(1-'B. Implementation Plan'!P149)*'B. Implementation Plan'!P152*'B. Implementation Plan'!P154*(1-'B. Implementation Plan'!P147)^($C298-1)),0),0)</f>
        <v>0</v>
      </c>
      <c r="O298" s="347">
        <f ca="1">IF($C298&lt;=ROUNDUP('B. Implementation Plan'!P156,0),ROUND(IF(AND($C298-'B. Implementation Plan'!P156&lt;1,$C298-'B. Implementation Plan'!P156&gt;0),MOD('B. Implementation Plan'!P156,1)*L244*(1-'B. Implementation Plan'!P149)*'B. Implementation Plan'!P152*'B. Implementation Plan'!P154*(1-'B. Implementation Plan'!P147)^($C298-1),L244*(1-'B. Implementation Plan'!P149)*'B. Implementation Plan'!P152*'B. Implementation Plan'!P154*(1-'B. Implementation Plan'!P147)^($C298-1)),0),0)</f>
        <v>0</v>
      </c>
      <c r="P298" s="78" t="str">
        <f t="shared" ca="1" si="289"/>
        <v/>
      </c>
    </row>
    <row r="299" spans="3:16" s="365" customFormat="1" x14ac:dyDescent="0.3">
      <c r="C299" s="370">
        <v>5</v>
      </c>
      <c r="E299"/>
      <c r="F299"/>
      <c r="G299"/>
      <c r="H299"/>
      <c r="I299"/>
      <c r="J299" s="347">
        <f ca="1">IF($C299&lt;=ROUNDUP('B. Implementation Plan'!P156,0),ROUND(IF(AND($C299-'B. Implementation Plan'!P156&lt;1,$C299-'B. Implementation Plan'!P156&gt;0),MOD('B. Implementation Plan'!P156,1)*(E244+F244)*(1-'B. Implementation Plan'!P149)*'B. Implementation Plan'!P152*'B. Implementation Plan'!P154*(1-'B. Implementation Plan'!P147)^($C299-1),(E244+F244)*(1-'B. Implementation Plan'!P149)*'B. Implementation Plan'!P152*'B. Implementation Plan'!P154*(1-'B. Implementation Plan'!P147)^($C299-1)),0),0)</f>
        <v>0</v>
      </c>
      <c r="K299" s="347">
        <f ca="1">IF($C299&lt;=ROUNDUP('B. Implementation Plan'!P156,0),ROUND(IF(AND($C299-'B. Implementation Plan'!P156&lt;1,$C299-'B. Implementation Plan'!P156&gt;0),MOD('B. Implementation Plan'!P156,1)*G244*(1-'B. Implementation Plan'!P149)*'B. Implementation Plan'!P152*'B. Implementation Plan'!P154*(1-'B. Implementation Plan'!P147)^($C299-1),G244*(1-'B. Implementation Plan'!P149)*'B. Implementation Plan'!P152*'B. Implementation Plan'!P154*(1-'B. Implementation Plan'!P147)^($C299-1)),0),0)</f>
        <v>0</v>
      </c>
      <c r="L299" s="347">
        <f ca="1">IF($C299&lt;=ROUNDUP('B. Implementation Plan'!P156,0),ROUND(IF(AND($C299-'B. Implementation Plan'!P156&lt;1,$C299-'B. Implementation Plan'!P156&gt;0),MOD('B. Implementation Plan'!P156,1)*H244*(1-'B. Implementation Plan'!P149)*'B. Implementation Plan'!P152*'B. Implementation Plan'!P154*(1-'B. Implementation Plan'!P147)^($C299-1),H244*(1-'B. Implementation Plan'!P149)*'B. Implementation Plan'!P152*'B. Implementation Plan'!P154*(1-'B. Implementation Plan'!P147)^($C299-1)),0),0)</f>
        <v>0</v>
      </c>
      <c r="M299" s="347">
        <f ca="1">IF($C299&lt;=ROUNDUP('B. Implementation Plan'!P156,0),ROUND(IF(AND($C299-'B. Implementation Plan'!P156&lt;1,$C299-'B. Implementation Plan'!P156&gt;0),MOD('B. Implementation Plan'!P156,1)*I244*(1-'B. Implementation Plan'!P149)*'B. Implementation Plan'!P152*'B. Implementation Plan'!P154*(1-'B. Implementation Plan'!P147)^($C299-1),I244*(1-'B. Implementation Plan'!P149)*'B. Implementation Plan'!P152*'B. Implementation Plan'!P154*(1-'B. Implementation Plan'!P147)^($C299-1)),0),0)</f>
        <v>0</v>
      </c>
      <c r="N299" s="347">
        <f ca="1">IF($C299&lt;=ROUNDUP('B. Implementation Plan'!P156,0),ROUND(IF(AND($C299-'B. Implementation Plan'!P156&lt;1,$C299-'B. Implementation Plan'!P156&gt;0),MOD('B. Implementation Plan'!P156,1)*J244*(1-'B. Implementation Plan'!P149)*'B. Implementation Plan'!P152*'B. Implementation Plan'!P154*(1-'B. Implementation Plan'!P147)^($C299-1),J244*(1-'B. Implementation Plan'!P149)*'B. Implementation Plan'!P152*'B. Implementation Plan'!P154*(1-'B. Implementation Plan'!P147)^($C299-1)),0),0)</f>
        <v>0</v>
      </c>
      <c r="O299" s="347">
        <f ca="1">IF($C299&lt;=ROUNDUP('B. Implementation Plan'!P156,0),ROUND(IF(AND($C299-'B. Implementation Plan'!P156&lt;1,$C299-'B. Implementation Plan'!P156&gt;0),MOD('B. Implementation Plan'!P156,1)*K244*(1-'B. Implementation Plan'!P149)*'B. Implementation Plan'!P152*'B. Implementation Plan'!P154*(1-'B. Implementation Plan'!P147)^($C299-1),K244*(1-'B. Implementation Plan'!P149)*'B. Implementation Plan'!P152*'B. Implementation Plan'!P154*(1-'B. Implementation Plan'!P147)^($C299-1)),0),0)</f>
        <v>0</v>
      </c>
      <c r="P299" s="78" t="str">
        <f t="shared" ca="1" si="289"/>
        <v/>
      </c>
    </row>
    <row r="300" spans="3:16" s="365" customFormat="1" x14ac:dyDescent="0.3">
      <c r="C300" s="370">
        <v>6</v>
      </c>
      <c r="E300"/>
      <c r="F300"/>
      <c r="G300"/>
      <c r="H300"/>
      <c r="I300"/>
      <c r="J300"/>
      <c r="K300" s="347">
        <f ca="1">IF($C300&lt;=ROUNDUP('B. Implementation Plan'!P156,0),ROUND(IF(AND($C300-'B. Implementation Plan'!P156&lt;1,$C300-'B. Implementation Plan'!P156&gt;0),MOD('B. Implementation Plan'!P156,1)*(E244+F244)*(1-'B. Implementation Plan'!P149)*'B. Implementation Plan'!P152*'B. Implementation Plan'!P154*(1-'B. Implementation Plan'!P147)^($C300-1),(E244+F244)*(1-'B. Implementation Plan'!P149)*'B. Implementation Plan'!P152*'B. Implementation Plan'!P154*(1-'B. Implementation Plan'!P147)^($C300-1)),0),0)</f>
        <v>0</v>
      </c>
      <c r="L300" s="347">
        <f ca="1">IF($C300&lt;=ROUNDUP('B. Implementation Plan'!P156,0),ROUND(IF(AND($C300-'B. Implementation Plan'!P156&lt;1,$C300-'B. Implementation Plan'!P156&gt;0),MOD('B. Implementation Plan'!P156,1)*G244*(1-'B. Implementation Plan'!P149)*'B. Implementation Plan'!P152*'B. Implementation Plan'!P154*(1-'B. Implementation Plan'!P147)^($C300-1),G244*(1-'B. Implementation Plan'!P149)*'B. Implementation Plan'!P152*'B. Implementation Plan'!P154*(1-'B. Implementation Plan'!P147)^($C300-1)),0),0)</f>
        <v>0</v>
      </c>
      <c r="M300" s="347">
        <f ca="1">IF($C300&lt;=ROUNDUP('B. Implementation Plan'!P156,0),ROUND(IF(AND($C300-'B. Implementation Plan'!P156&lt;1,$C300-'B. Implementation Plan'!P156&gt;0),MOD('B. Implementation Plan'!P156,1)*H244*(1-'B. Implementation Plan'!P149)*'B. Implementation Plan'!P152*'B. Implementation Plan'!P154*(1-'B. Implementation Plan'!P147)^($C300-1),H244*(1-'B. Implementation Plan'!P149)*'B. Implementation Plan'!P152*'B. Implementation Plan'!P154*(1-'B. Implementation Plan'!P147)^($C300-1)),0),0)</f>
        <v>0</v>
      </c>
      <c r="N300" s="347">
        <f ca="1">IF($C300&lt;=ROUNDUP('B. Implementation Plan'!P156,0),ROUND(IF(AND($C300-'B. Implementation Plan'!P156&lt;1,$C300-'B. Implementation Plan'!P156&gt;0),MOD('B. Implementation Plan'!P156,1)*I244*(1-'B. Implementation Plan'!P149)*'B. Implementation Plan'!P152*'B. Implementation Plan'!P154*(1-'B. Implementation Plan'!P147)^($C300-1),I244*(1-'B. Implementation Plan'!P149)*'B. Implementation Plan'!P152*'B. Implementation Plan'!P154*(1-'B. Implementation Plan'!P147)^($C300-1)),0),0)</f>
        <v>0</v>
      </c>
      <c r="O300" s="347">
        <f ca="1">IF($C300&lt;=ROUNDUP('B. Implementation Plan'!P156,0),ROUND(IF(AND($C300-'B. Implementation Plan'!P156&lt;1,$C300-'B. Implementation Plan'!P156&gt;0),MOD('B. Implementation Plan'!P156,1)*J244*(1-'B. Implementation Plan'!P149)*'B. Implementation Plan'!P152*'B. Implementation Plan'!P154*(1-'B. Implementation Plan'!P147)^($C300-1),J244*(1-'B. Implementation Plan'!P149)*'B. Implementation Plan'!P152*'B. Implementation Plan'!P154*(1-'B. Implementation Plan'!P147)^($C300-1)),0),0)</f>
        <v>0</v>
      </c>
      <c r="P300" s="78" t="str">
        <f t="shared" ca="1" si="289"/>
        <v/>
      </c>
    </row>
    <row r="301" spans="3:16" s="365" customFormat="1" x14ac:dyDescent="0.3">
      <c r="C301" s="370">
        <v>7</v>
      </c>
      <c r="E301"/>
      <c r="F301"/>
      <c r="G301"/>
      <c r="H301"/>
      <c r="I301"/>
      <c r="J301"/>
      <c r="K301"/>
      <c r="L301" s="347">
        <f>IF($C301&lt;=ROUNDUP('B. Implementation Plan'!P156,0),ROUND(IF(AND($C301-'B. Implementation Plan'!P156&lt;1,$C301-'B. Implementation Plan'!P156&gt;0),MOD('B. Implementation Plan'!P156,1)*(E244+F244)*(1-'B. Implementation Plan'!P149)*'B. Implementation Plan'!P152*'B. Implementation Plan'!P154*(1-'B. Implementation Plan'!P147)^($C301-1),(E244+F244)*(1-'B. Implementation Plan'!P149)*'B. Implementation Plan'!P152*'B. Implementation Plan'!P154*(1-'B. Implementation Plan'!P147)^($C301-1)),0),0)</f>
        <v>0</v>
      </c>
      <c r="M301" s="347">
        <f>IF($C301&lt;=ROUNDUP('B. Implementation Plan'!P156,0),ROUND(IF(AND($C301-'B. Implementation Plan'!P156&lt;1,$C301-'B. Implementation Plan'!P156&gt;0),MOD('B. Implementation Plan'!P156,1)*G244*(1-'B. Implementation Plan'!P149)*'B. Implementation Plan'!P152*'B. Implementation Plan'!P154*(1-'B. Implementation Plan'!P147)^($C301-1),G244*(1-'B. Implementation Plan'!P149)*'B. Implementation Plan'!P152*'B. Implementation Plan'!P154*(1-'B. Implementation Plan'!P147)^($C301-1)),0),0)</f>
        <v>0</v>
      </c>
      <c r="N301" s="347">
        <f>IF($C301&lt;=ROUNDUP('B. Implementation Plan'!P156,0),ROUND(IF(AND($C301-'B. Implementation Plan'!P156&lt;1,$C301-'B. Implementation Plan'!P156&gt;0),MOD('B. Implementation Plan'!P156,1)*H244*(1-'B. Implementation Plan'!P149)*'B. Implementation Plan'!P152*'B. Implementation Plan'!P154*(1-'B. Implementation Plan'!P147)^($C301-1),H244*(1-'B. Implementation Plan'!P149)*'B. Implementation Plan'!P152*'B. Implementation Plan'!P154*(1-'B. Implementation Plan'!P147)^($C301-1)),0),0)</f>
        <v>0</v>
      </c>
      <c r="O301" s="347">
        <f>IF($C301&lt;=ROUNDUP('B. Implementation Plan'!P156,0),ROUND(IF(AND($C301-'B. Implementation Plan'!P156&lt;1,$C301-'B. Implementation Plan'!P156&gt;0),MOD('B. Implementation Plan'!P156,1)*I244*(1-'B. Implementation Plan'!P149)*'B. Implementation Plan'!P152*'B. Implementation Plan'!P154*(1-'B. Implementation Plan'!P147)^($C301-1),I244*(1-'B. Implementation Plan'!P149)*'B. Implementation Plan'!P152*'B. Implementation Plan'!P154*(1-'B. Implementation Plan'!P147)^($C301-1)),0),0)</f>
        <v>0</v>
      </c>
      <c r="P301" s="78" t="str">
        <f t="shared" si="289"/>
        <v/>
      </c>
    </row>
    <row r="302" spans="3:16" s="365" customFormat="1" x14ac:dyDescent="0.3">
      <c r="C302" s="370">
        <v>8</v>
      </c>
      <c r="E302"/>
      <c r="F302"/>
      <c r="G302"/>
      <c r="H302"/>
      <c r="I302"/>
      <c r="J302"/>
      <c r="K302"/>
      <c r="L302"/>
      <c r="M302" s="347">
        <f>IF($C302&lt;=ROUNDUP('B. Implementation Plan'!P156,0),ROUND(IF(AND($C302-'B. Implementation Plan'!P156&lt;1,$C302-'B. Implementation Plan'!P156&gt;0),MOD('B. Implementation Plan'!P156,1)*(E244+F244)*(1-'B. Implementation Plan'!P149)*'B. Implementation Plan'!P152*'B. Implementation Plan'!P154*(1-'B. Implementation Plan'!P147)^($C302-1),(E244+F244)*(1-'B. Implementation Plan'!P149)*'B. Implementation Plan'!P152*'B. Implementation Plan'!P154*(1-'B. Implementation Plan'!P147)^($C302-1)),0),0)</f>
        <v>0</v>
      </c>
      <c r="N302" s="347">
        <f>IF($C302&lt;=ROUNDUP('B. Implementation Plan'!P156,0),ROUND(IF(AND($C302-'B. Implementation Plan'!P156&lt;1,$C302-'B. Implementation Plan'!P156&gt;0),MOD('B. Implementation Plan'!P156,1)*G244*(1-'B. Implementation Plan'!P149)*'B. Implementation Plan'!P152*'B. Implementation Plan'!P154*(1-'B. Implementation Plan'!P147)^($C302-1),G244*(1-'B. Implementation Plan'!P149)*'B. Implementation Plan'!P152*'B. Implementation Plan'!P154*(1-'B. Implementation Plan'!P147)^($C302-1)),0),0)</f>
        <v>0</v>
      </c>
      <c r="O302" s="347">
        <f>IF($C302&lt;=ROUNDUP('B. Implementation Plan'!P156,0),ROUND(IF(AND($C302-'B. Implementation Plan'!P156&lt;1,$C302-'B. Implementation Plan'!P156&gt;0),MOD('B. Implementation Plan'!P156,1)*H244*(1-'B. Implementation Plan'!P149)*'B. Implementation Plan'!P152*'B. Implementation Plan'!P154*(1-'B. Implementation Plan'!P147)^($C302-1),H244*(1-'B. Implementation Plan'!P149)*'B. Implementation Plan'!P152*'B. Implementation Plan'!P154*(1-'B. Implementation Plan'!P147)^($C302-1)),0),0)</f>
        <v>0</v>
      </c>
      <c r="P302" s="78" t="str">
        <f t="shared" si="289"/>
        <v/>
      </c>
    </row>
    <row r="303" spans="3:16" s="365" customFormat="1" x14ac:dyDescent="0.3">
      <c r="C303" s="370">
        <v>9</v>
      </c>
      <c r="E303"/>
      <c r="F303"/>
      <c r="G303"/>
      <c r="H303"/>
      <c r="I303"/>
      <c r="J303"/>
      <c r="K303"/>
      <c r="L303"/>
      <c r="M303"/>
      <c r="N303" s="347">
        <f>IF($C303&lt;=ROUNDUP('B. Implementation Plan'!P156,0),ROUND(IF(AND($C303-'B. Implementation Plan'!P156&lt;1,$C303-'B. Implementation Plan'!P156&gt;0),MOD('B. Implementation Plan'!P156,1)*(E244+F244)*(1-'B. Implementation Plan'!P149)*'B. Implementation Plan'!P152*'B. Implementation Plan'!P154*(1-'B. Implementation Plan'!P147)^($C303-1),(E244+F244)*(1-'B. Implementation Plan'!P149)*'B. Implementation Plan'!P152*'B. Implementation Plan'!P154*(1-'B. Implementation Plan'!P147)^($C303-1)),0),0)</f>
        <v>0</v>
      </c>
      <c r="O303" s="347">
        <f>IF($C303&lt;=ROUNDUP('B. Implementation Plan'!P156,0),ROUND(IF(AND($C303-'B. Implementation Plan'!P156&lt;1,$C303-'B. Implementation Plan'!P156&gt;0),MOD('B. Implementation Plan'!P156,1)*G244*(1-'B. Implementation Plan'!P149)*'B. Implementation Plan'!P152*'B. Implementation Plan'!P154*(1-'B. Implementation Plan'!P147)^($C303-1),G244*(1-'B. Implementation Plan'!P149)*'B. Implementation Plan'!P152*'B. Implementation Plan'!P154*(1-'B. Implementation Plan'!P147)^($C303-1)),0),0)</f>
        <v>0</v>
      </c>
      <c r="P303" s="78" t="str">
        <f t="shared" si="289"/>
        <v/>
      </c>
    </row>
    <row r="304" spans="3:16" s="365" customFormat="1" x14ac:dyDescent="0.3">
      <c r="C304" s="370">
        <v>10</v>
      </c>
      <c r="E304"/>
      <c r="F304"/>
      <c r="G304"/>
      <c r="H304"/>
      <c r="I304"/>
      <c r="J304"/>
      <c r="K304"/>
      <c r="L304"/>
      <c r="M304"/>
      <c r="N304" s="19"/>
      <c r="O304" s="347">
        <f>IF($C304&lt;=ROUNDUP('B. Implementation Plan'!P156,0),ROUND(IF(AND($C304-'B. Implementation Plan'!P156&lt;1,$C304-'B. Implementation Plan'!P156&gt;0),MOD('B. Implementation Plan'!P156,1)*(E244+F244)*(1-'B. Implementation Plan'!P149)*'B. Implementation Plan'!P152*'B. Implementation Plan'!P154*(1-'B. Implementation Plan'!P147)^($C304-1),(E244+F244)*(1-'B. Implementation Plan'!P149)*'B. Implementation Plan'!P152*'B. Implementation Plan'!P154*(1-'B. Implementation Plan'!P147)^($C304-1)),0),0)</f>
        <v>0</v>
      </c>
      <c r="P304" s="78" t="str">
        <f t="shared" si="289"/>
        <v/>
      </c>
    </row>
    <row r="305" spans="1:16" s="1" customFormat="1" x14ac:dyDescent="0.3">
      <c r="C305" s="376" t="s">
        <v>528</v>
      </c>
      <c r="E305"/>
      <c r="F305" s="371">
        <f t="shared" ref="F305:O305" ca="1" si="290">IF(F239&gt;0,SUM(F295:F304),0)</f>
        <v>0</v>
      </c>
      <c r="G305" s="371">
        <f t="shared" ca="1" si="290"/>
        <v>0</v>
      </c>
      <c r="H305" s="371">
        <f t="shared" ca="1" si="290"/>
        <v>0</v>
      </c>
      <c r="I305" s="371">
        <f t="shared" ca="1" si="290"/>
        <v>0</v>
      </c>
      <c r="J305" s="371">
        <f t="shared" ca="1" si="290"/>
        <v>0</v>
      </c>
      <c r="K305" s="371">
        <f t="shared" ca="1" si="290"/>
        <v>0</v>
      </c>
      <c r="L305" s="371">
        <f t="shared" ca="1" si="290"/>
        <v>0</v>
      </c>
      <c r="M305" s="371">
        <f t="shared" ca="1" si="290"/>
        <v>0</v>
      </c>
      <c r="N305" s="371">
        <f t="shared" ca="1" si="290"/>
        <v>0</v>
      </c>
      <c r="O305" s="377">
        <f t="shared" ca="1" si="290"/>
        <v>0</v>
      </c>
      <c r="P305" s="325">
        <f ca="1">SUM(E305:O305)</f>
        <v>0</v>
      </c>
    </row>
    <row r="306" spans="1:16" s="1" customFormat="1" x14ac:dyDescent="0.3">
      <c r="C306" s="353" t="s">
        <v>472</v>
      </c>
      <c r="E306"/>
      <c r="F306" s="324">
        <f ca="1">MIN(IFERROR(ROUNDUP(IF(F239&gt;0,INDEX(F295:F304,MATCH(9.99999999999999E+307,P295:P304))/IF(MOD('B. Implementation Plan'!P156,1)=0,1,MOD('B. Implementation Plan'!P156,1)),0),0),0),MAX(E295:E304))</f>
        <v>0</v>
      </c>
      <c r="G306" s="324">
        <f ca="1">MIN(IFERROR(ROUNDUP(IF(G239&gt;0,INDEX(G295:G304,MATCH(9.99999999999999E+307,P295:P304))/IF(MOD('B. Implementation Plan'!P156,1)=0,1,MOD('B. Implementation Plan'!P156,1)),0),0),0),MAX(E295:F304))</f>
        <v>0</v>
      </c>
      <c r="H306" s="324">
        <f ca="1">MIN(IFERROR(ROUNDUP(IF(H239&gt;0,INDEX(H295:H304,MATCH(9.99999999999999E+307,P295:P304))/IF(MOD('B. Implementation Plan'!P156,1)=0,1,MOD('B. Implementation Plan'!P156,1)),0),0),0),MAX(E295:G304))</f>
        <v>0</v>
      </c>
      <c r="I306" s="324">
        <f ca="1">MIN(IFERROR(ROUNDUP(IF(I239&gt;0,INDEX(I295:I304,MATCH(9.99999999999999E+307,P295:P304))/IF(MOD('B. Implementation Plan'!P156,1)=0,1,MOD('B. Implementation Plan'!P156,1)),0),0),0),MAX(E295:H304))</f>
        <v>0</v>
      </c>
      <c r="J306" s="324">
        <f ca="1">MIN(IFERROR(ROUNDUP(IF(J239&gt;0,INDEX(J295:J304,MATCH(9.99999999999999E+307,P295:P304))/IF(MOD('B. Implementation Plan'!P156,1)=0,1,MOD('B. Implementation Plan'!P156,1)),0),0),0),MAX(E295:I304))</f>
        <v>0</v>
      </c>
      <c r="K306" s="324">
        <f ca="1">MIN(IFERROR(ROUNDUP(IF(K239&gt;0,INDEX(K295:K304,MATCH(9.99999999999999E+307,P295:P304))/IF(MOD('B. Implementation Plan'!P156,1)=0,1,MOD('B. Implementation Plan'!P156,1)),0),0),0),MAX(E295:J304))</f>
        <v>0</v>
      </c>
      <c r="L306" s="324">
        <f ca="1">MIN(IFERROR(ROUNDUP(IF(L239&gt;0,INDEX(L295:L304,MATCH(9.99999999999999E+307,P295:P304))/IF(MOD('B. Implementation Plan'!P156,1)=0,1,MOD('B. Implementation Plan'!P156,1)),0),0),0),MAX(E295:K304))</f>
        <v>0</v>
      </c>
      <c r="M306" s="324">
        <f ca="1">MIN(IFERROR(ROUNDUP(IF(M239&gt;0,INDEX(M295:M304,MATCH(9.99999999999999E+307,P295:P304))/IF(MOD('B. Implementation Plan'!P156,1)=0,1,MOD('B. Implementation Plan'!P156,1)),0),0),0),MAX(E295:L304))</f>
        <v>0</v>
      </c>
      <c r="N306" s="324">
        <f ca="1">MIN(IFERROR(ROUNDUP(IF(N239&gt;0,INDEX(N295:N304,MATCH(9.99999999999999E+307,P295:P304))/IF(MOD('B. Implementation Plan'!P156,1)=0,1,MOD('B. Implementation Plan'!P156,1)),0),0),0),MAX(E295:M304))</f>
        <v>0</v>
      </c>
      <c r="O306" s="324">
        <f ca="1">MIN(IFERROR(ROUNDUP(IF(O239&gt;0,INDEX(O295:O304,MATCH(9.99999999999999E+307,P295:P304))/IF(MOD('B. Implementation Plan'!P156,1)=0,1,MOD('B. Implementation Plan'!P156,1)),0),0),0),MAX(E295:N304))</f>
        <v>0</v>
      </c>
      <c r="P306" s="325">
        <f ca="1">SUM(E306:O306)</f>
        <v>0</v>
      </c>
    </row>
    <row r="307" spans="1:16" s="365" customFormat="1" x14ac:dyDescent="0.3">
      <c r="C307" s="326" t="s">
        <v>470</v>
      </c>
      <c r="E307"/>
      <c r="F307" s="347">
        <f ca="1">ROUNDUP(IF(F239&gt;0,IF(SUM(E306:F306,E307:E307)*'B. Implementation Plan'!P147&gt;P306,0,-ROUND(SUM(E306:F306,E307:E307)*'B. Implementation Plan'!P147,0)),0),0)</f>
        <v>0</v>
      </c>
      <c r="G307" s="347">
        <f ca="1">ROUNDUP(IF(G239&gt;0,IF(SUM(E306:G306,E307:F307)*'B. Implementation Plan'!P147&gt;P306,0,-ROUND(SUM(E306:G306,E307:F307)*'B. Implementation Plan'!P147,0)),0),0)</f>
        <v>0</v>
      </c>
      <c r="H307" s="347">
        <f ca="1">ROUNDUP(IF(H239&gt;0,IF(SUM(E306:H306,E307:G307)*'B. Implementation Plan'!P147&gt;P306,0,-ROUND(SUM(E306:H306,E307:G307)*'B. Implementation Plan'!P147,0)),0),0)</f>
        <v>0</v>
      </c>
      <c r="I307" s="347">
        <f ca="1">ROUNDUP(IF(I239&gt;0,IF(SUM(E306:I306,E307:H307)*'B. Implementation Plan'!P147&gt;P306,0,-ROUND(SUM(E306:I306,E307:H307)*'B. Implementation Plan'!P147,0)),0),0)</f>
        <v>0</v>
      </c>
      <c r="J307" s="347">
        <f ca="1">ROUNDUP(IF(J239&gt;0,IF(SUM(E306:J306,E307:I307)*'B. Implementation Plan'!P147&gt;P306,0,-ROUND(SUM(E306:J306,E307:I307)*'B. Implementation Plan'!P147,0)),0),0)</f>
        <v>0</v>
      </c>
      <c r="K307" s="347">
        <f ca="1">ROUNDUP(IF(K239&gt;0,IF(SUM(E306:K306,E307:J307)*'B. Implementation Plan'!P147&gt;P306,0,-ROUND(SUM(E306:K306,E307:J307)*'B. Implementation Plan'!P147,0)),0),0)</f>
        <v>0</v>
      </c>
      <c r="L307" s="347">
        <f ca="1">ROUNDUP(IF(L239&gt;0,IF(SUM(E306:L306,E307:K307)*'B. Implementation Plan'!P147&gt;P306,0,-ROUND(SUM(E306:L306,E307:K307)*'B. Implementation Plan'!P147,0)),0),0)</f>
        <v>0</v>
      </c>
      <c r="M307" s="347">
        <f ca="1">ROUNDUP(IF(M239&gt;0,IF(SUM(E306:M306,E307:L307)*'B. Implementation Plan'!P147&gt;P306,0,-ROUND(SUM(E306:M306,E307:L307)*'B. Implementation Plan'!P147,0)),0),0)</f>
        <v>0</v>
      </c>
      <c r="N307" s="347">
        <f ca="1">ROUNDUP(IF(N239&gt;0,IF(SUM(E306:N306,E307:M307)*'B. Implementation Plan'!P147&gt;P306,0,-ROUND(SUM(E306:N306,E307:M307)*'B. Implementation Plan'!P147,0)),0),0)</f>
        <v>0</v>
      </c>
      <c r="O307" s="347">
        <f ca="1">ROUNDUP(IF(O239&gt;0,IF(SUM(E306:O306,E307:N307)*'B. Implementation Plan'!P147&gt;P306,0,-ROUND(SUM(E306:O306,E307:N307)*'B. Implementation Plan'!P147,0)),0),0)</f>
        <v>0</v>
      </c>
      <c r="P307" s="354">
        <f ca="1">SUM(E307:O307)</f>
        <v>0</v>
      </c>
    </row>
    <row r="308" spans="1:16" s="365" customFormat="1" ht="15" thickBot="1" x14ac:dyDescent="0.35">
      <c r="C308" s="326" t="s">
        <v>471</v>
      </c>
      <c r="E308"/>
      <c r="F308" s="347">
        <f ca="1">IF(F239&gt;0,SUM(E306:F307),0)</f>
        <v>0</v>
      </c>
      <c r="G308" s="347">
        <f ca="1">IF(G239&gt;0,SUM(E306:G307),0)</f>
        <v>0</v>
      </c>
      <c r="H308" s="347">
        <f ca="1">IF(H239&gt;0,SUM(E306:H307),0)</f>
        <v>0</v>
      </c>
      <c r="I308" s="347">
        <f ca="1">IF(I239&gt;0,SUM(E306:I307),0)</f>
        <v>0</v>
      </c>
      <c r="J308" s="347">
        <f ca="1">IF(J239&gt;0,SUM(E306:J307),0)</f>
        <v>0</v>
      </c>
      <c r="K308" s="347">
        <f ca="1">IF(K239&gt;0,SUM(E306:K307),0)</f>
        <v>0</v>
      </c>
      <c r="L308" s="347">
        <f ca="1">IF(L239&gt;0,SUM(E306:L307),0)</f>
        <v>0</v>
      </c>
      <c r="M308" s="347">
        <f ca="1">IF(M239&gt;0,SUM(E306:M307),0)</f>
        <v>0</v>
      </c>
      <c r="N308" s="347">
        <f ca="1">IF(N239&gt;0,SUM(E306:N307),0)</f>
        <v>0</v>
      </c>
      <c r="O308" s="369">
        <f ca="1">IF(O239&gt;0,SUM(E306:O307),0)</f>
        <v>0</v>
      </c>
      <c r="P308" s="375">
        <f t="shared" ref="P308" ca="1" si="291">IF(O308=0,IF(N308=0,IF(M308=0,IF(L308=0,IF(K308=0,IF(J308=0,IF(I308=0,IF(H308=0,IF(G308=0,IF(F308=0,E308,F308),G308),H308),I308),J308),K308),L308),M308),N308),O308)</f>
        <v>0</v>
      </c>
    </row>
    <row r="309" spans="1:16" ht="16.2" thickBot="1" x14ac:dyDescent="0.35">
      <c r="C309" s="16" t="s">
        <v>479</v>
      </c>
      <c r="E309" s="149">
        <v>0</v>
      </c>
      <c r="F309" s="149">
        <v>1</v>
      </c>
      <c r="G309" s="149">
        <v>2</v>
      </c>
      <c r="H309" s="149">
        <v>3</v>
      </c>
      <c r="I309" s="149">
        <v>4</v>
      </c>
      <c r="J309" s="149">
        <v>5</v>
      </c>
      <c r="K309" s="149">
        <v>6</v>
      </c>
      <c r="L309" s="149">
        <v>7</v>
      </c>
      <c r="M309" s="149">
        <v>8</v>
      </c>
      <c r="N309" s="149">
        <v>9</v>
      </c>
      <c r="O309" s="149">
        <v>10</v>
      </c>
      <c r="P309"/>
    </row>
    <row r="310" spans="1:16" s="1" customFormat="1" x14ac:dyDescent="0.3">
      <c r="C310" s="326" t="s">
        <v>483</v>
      </c>
      <c r="E310" s="372">
        <f ca="1">ROUNDUP(E241*'B. Implementation Plan'!F134+(E239-E241)*'B. Implementation Plan'!P149,0)</f>
        <v>620</v>
      </c>
      <c r="F310" s="372">
        <f ca="1">ROUNDUP(F241*'B. Implementation Plan'!F134+(F239-F241)*'B. Implementation Plan'!P149,0)</f>
        <v>635</v>
      </c>
      <c r="G310" s="372">
        <f ca="1">ROUNDUP(G241*'B. Implementation Plan'!F134+(G239-G241)*'B. Implementation Plan'!P149,0)</f>
        <v>651</v>
      </c>
      <c r="H310" s="372">
        <f ca="1">ROUNDUP(H241*'B. Implementation Plan'!F134+(H239-H241)*'B. Implementation Plan'!P149,0)</f>
        <v>666</v>
      </c>
      <c r="I310" s="372">
        <f ca="1">ROUNDUP(I241*'B. Implementation Plan'!F134+(I239-I241)*'B. Implementation Plan'!P149,0)</f>
        <v>682</v>
      </c>
      <c r="J310" s="372">
        <f ca="1">ROUNDUP(J241*'B. Implementation Plan'!F134+(J239-J241)*'B. Implementation Plan'!P149,0)</f>
        <v>698</v>
      </c>
      <c r="K310" s="372">
        <f ca="1">ROUNDUP(K241*'B. Implementation Plan'!F134+(K239-K241)*'B. Implementation Plan'!P149,0)</f>
        <v>713</v>
      </c>
      <c r="L310" s="372">
        <f ca="1">ROUNDUP(L241*'B. Implementation Plan'!F134+(L239-L241)*'B. Implementation Plan'!P149,0)</f>
        <v>729</v>
      </c>
      <c r="M310" s="372">
        <f ca="1">ROUNDUP(M241*'B. Implementation Plan'!F134+(M239-M241)*'B. Implementation Plan'!P149,0)</f>
        <v>745</v>
      </c>
      <c r="N310" s="372">
        <f ca="1">ROUNDUP(N241*'B. Implementation Plan'!F134+(N239-N241)*'B. Implementation Plan'!P149,0)</f>
        <v>760</v>
      </c>
      <c r="O310" s="372">
        <f ca="1">ROUNDUP(O241*'B. Implementation Plan'!F134+(O239-O241)*'B. Implementation Plan'!P149,0)</f>
        <v>776</v>
      </c>
      <c r="P310" s="379">
        <f t="shared" ref="P310:P311" ca="1" si="292">IF(O310=0,IF(N310=0,IF(M310=0,IF(L310=0,IF(K310=0,IF(J310=0,IF(I310=0,IF(H310=0,IF(G310=0,IF(F310=0,E310,F310),G310),H310),I310),J310),K310),L310),M310),N310),O310)</f>
        <v>776</v>
      </c>
    </row>
    <row r="311" spans="1:16" s="1" customFormat="1" x14ac:dyDescent="0.3">
      <c r="C311" s="326" t="s">
        <v>477</v>
      </c>
      <c r="E311" s="378">
        <f t="shared" ref="E311:O311" ca="1" si="293">IF(E239&gt;0,E310/E239,0)</f>
        <v>1</v>
      </c>
      <c r="F311" s="378">
        <f t="shared" ca="1" si="293"/>
        <v>1</v>
      </c>
      <c r="G311" s="378">
        <f t="shared" ca="1" si="293"/>
        <v>1</v>
      </c>
      <c r="H311" s="378">
        <f t="shared" ca="1" si="293"/>
        <v>1</v>
      </c>
      <c r="I311" s="378">
        <f t="shared" ca="1" si="293"/>
        <v>1</v>
      </c>
      <c r="J311" s="378">
        <f t="shared" ca="1" si="293"/>
        <v>1</v>
      </c>
      <c r="K311" s="378">
        <f t="shared" ca="1" si="293"/>
        <v>1</v>
      </c>
      <c r="L311" s="378">
        <f t="shared" ca="1" si="293"/>
        <v>1</v>
      </c>
      <c r="M311" s="378">
        <f t="shared" ca="1" si="293"/>
        <v>1</v>
      </c>
      <c r="N311" s="378">
        <f t="shared" ca="1" si="293"/>
        <v>1</v>
      </c>
      <c r="O311" s="378">
        <f t="shared" ca="1" si="293"/>
        <v>1</v>
      </c>
      <c r="P311" s="111">
        <f t="shared" ca="1" si="292"/>
        <v>1</v>
      </c>
    </row>
    <row r="312" spans="1:16" s="365" customFormat="1" x14ac:dyDescent="0.3">
      <c r="C312" s="326" t="s">
        <v>484</v>
      </c>
      <c r="F312" s="372">
        <f ca="1">F257+F273+F289+F305</f>
        <v>0</v>
      </c>
      <c r="G312" s="372">
        <f t="shared" ref="G312:O312" ca="1" si="294">G257+G273+G289+G305</f>
        <v>0</v>
      </c>
      <c r="H312" s="372">
        <f t="shared" ca="1" si="294"/>
        <v>0</v>
      </c>
      <c r="I312" s="372">
        <f t="shared" ca="1" si="294"/>
        <v>0</v>
      </c>
      <c r="J312" s="372">
        <f t="shared" ca="1" si="294"/>
        <v>0</v>
      </c>
      <c r="K312" s="372">
        <f t="shared" ca="1" si="294"/>
        <v>0</v>
      </c>
      <c r="L312" s="372">
        <f t="shared" ca="1" si="294"/>
        <v>0</v>
      </c>
      <c r="M312" s="372">
        <f t="shared" ca="1" si="294"/>
        <v>0</v>
      </c>
      <c r="N312" s="372">
        <f t="shared" ca="1" si="294"/>
        <v>0</v>
      </c>
      <c r="O312" s="372">
        <f t="shared" ca="1" si="294"/>
        <v>0</v>
      </c>
      <c r="P312" s="354">
        <f ca="1">MAX(F312:O312)</f>
        <v>0</v>
      </c>
    </row>
    <row r="313" spans="1:16" s="1" customFormat="1" x14ac:dyDescent="0.3">
      <c r="C313" s="326" t="s">
        <v>543</v>
      </c>
      <c r="F313" s="371">
        <f ca="1">F260+F276+F292+F308</f>
        <v>0</v>
      </c>
      <c r="G313" s="371">
        <f t="shared" ref="G313:O313" ca="1" si="295">G260+G276+G292+G308</f>
        <v>0</v>
      </c>
      <c r="H313" s="371">
        <f t="shared" ca="1" si="295"/>
        <v>0</v>
      </c>
      <c r="I313" s="371">
        <f t="shared" ca="1" si="295"/>
        <v>0</v>
      </c>
      <c r="J313" s="371">
        <f t="shared" ca="1" si="295"/>
        <v>0</v>
      </c>
      <c r="K313" s="371">
        <f t="shared" ca="1" si="295"/>
        <v>0</v>
      </c>
      <c r="L313" s="371">
        <f t="shared" ca="1" si="295"/>
        <v>0</v>
      </c>
      <c r="M313" s="371">
        <f t="shared" ca="1" si="295"/>
        <v>0</v>
      </c>
      <c r="N313" s="371">
        <f t="shared" ca="1" si="295"/>
        <v>0</v>
      </c>
      <c r="O313" s="371">
        <f t="shared" ca="1" si="295"/>
        <v>0</v>
      </c>
      <c r="P313" s="354">
        <f t="shared" ref="P313" ca="1" si="296">IF(O313=0,IF(N313=0,IF(M313=0,IF(L313=0,IF(K313=0,IF(J313=0,IF(I313=0,IF(H313=0,IF(G313=0,IF(F313=0,E313,F313),G313),H313),I313),J313),K313),L313),M313),N313),O313)</f>
        <v>0</v>
      </c>
    </row>
    <row r="314" spans="1:16" s="1" customFormat="1" ht="15" thickBot="1" x14ac:dyDescent="0.35">
      <c r="C314" s="353" t="s">
        <v>526</v>
      </c>
      <c r="E314" s="373">
        <f t="shared" ref="E314:O314" ca="1" si="297">IFERROR((E310+E313)/E239,0)</f>
        <v>1</v>
      </c>
      <c r="F314" s="373">
        <f t="shared" ca="1" si="297"/>
        <v>1</v>
      </c>
      <c r="G314" s="373">
        <f t="shared" ca="1" si="297"/>
        <v>1</v>
      </c>
      <c r="H314" s="373">
        <f t="shared" ca="1" si="297"/>
        <v>1</v>
      </c>
      <c r="I314" s="373">
        <f t="shared" ca="1" si="297"/>
        <v>1</v>
      </c>
      <c r="J314" s="373">
        <f t="shared" ca="1" si="297"/>
        <v>1</v>
      </c>
      <c r="K314" s="373">
        <f t="shared" ca="1" si="297"/>
        <v>1</v>
      </c>
      <c r="L314" s="373">
        <f t="shared" ca="1" si="297"/>
        <v>1</v>
      </c>
      <c r="M314" s="373">
        <f t="shared" ca="1" si="297"/>
        <v>1</v>
      </c>
      <c r="N314" s="373">
        <f t="shared" ca="1" si="297"/>
        <v>1</v>
      </c>
      <c r="O314" s="373">
        <f t="shared" ca="1" si="297"/>
        <v>1</v>
      </c>
      <c r="P314" s="190">
        <f t="shared" ref="P314" ca="1" si="298">IF(O314=0,IF(N314=0,IF(M314=0,IF(L314=0,IF(K314=0,IF(J314=0,IF(I314=0,IF(H314=0,IF(G314=0,IF(F314=0,E314,F314),G314),H314),I314),J314),K314),L314),M314),N314),O314)</f>
        <v>1</v>
      </c>
    </row>
    <row r="315" spans="1:16" x14ac:dyDescent="0.3">
      <c r="P315"/>
    </row>
    <row r="316" spans="1:16" ht="15" thickBot="1" x14ac:dyDescent="0.35">
      <c r="P316"/>
    </row>
    <row r="317" spans="1:16" s="67" customFormat="1" ht="15.6" x14ac:dyDescent="0.3">
      <c r="A317" s="62"/>
      <c r="B317" s="62" t="s">
        <v>532</v>
      </c>
      <c r="D317" s="65"/>
      <c r="E317" s="66">
        <v>0</v>
      </c>
      <c r="F317" s="66">
        <v>1</v>
      </c>
      <c r="G317" s="66">
        <v>2</v>
      </c>
      <c r="H317" s="66">
        <v>3</v>
      </c>
      <c r="I317" s="66">
        <v>4</v>
      </c>
      <c r="J317" s="66">
        <v>5</v>
      </c>
      <c r="K317" s="66">
        <v>6</v>
      </c>
      <c r="L317" s="66">
        <v>7</v>
      </c>
      <c r="M317" s="66">
        <v>8</v>
      </c>
      <c r="N317" s="66">
        <v>9</v>
      </c>
      <c r="O317" s="213">
        <v>10</v>
      </c>
      <c r="P317" s="351" t="s">
        <v>2</v>
      </c>
    </row>
    <row r="318" spans="1:16" x14ac:dyDescent="0.3">
      <c r="A318" s="1"/>
      <c r="B318" s="1"/>
      <c r="C318" s="326" t="s">
        <v>457</v>
      </c>
      <c r="D318" s="368"/>
      <c r="E318" s="15">
        <f ca="1">E107</f>
        <v>0</v>
      </c>
      <c r="F318" s="15">
        <f t="shared" ref="F318:O318" ca="1" si="299">F107</f>
        <v>0</v>
      </c>
      <c r="G318" s="15">
        <f t="shared" ca="1" si="299"/>
        <v>0</v>
      </c>
      <c r="H318" s="15">
        <f t="shared" ca="1" si="299"/>
        <v>0</v>
      </c>
      <c r="I318" s="15">
        <f t="shared" ca="1" si="299"/>
        <v>0</v>
      </c>
      <c r="J318" s="15">
        <f t="shared" ca="1" si="299"/>
        <v>0</v>
      </c>
      <c r="K318" s="15">
        <f t="shared" ca="1" si="299"/>
        <v>0</v>
      </c>
      <c r="L318" s="15">
        <f t="shared" ca="1" si="299"/>
        <v>0</v>
      </c>
      <c r="M318" s="15">
        <f t="shared" ca="1" si="299"/>
        <v>0</v>
      </c>
      <c r="N318" s="15">
        <f t="shared" ca="1" si="299"/>
        <v>0</v>
      </c>
      <c r="O318" s="15">
        <f t="shared" ca="1" si="299"/>
        <v>0</v>
      </c>
      <c r="P318" s="78">
        <f ca="1">IF(O318=0,IF(N318=0,IF(M318=0,IF(L318=0,IF(K318=0,IF(J318=0,IF(I318=0,IF(H318=0,IF(G318=0,IF(F318=0,E318,F318),G318),H318),I318),J318),K318),L318),M318),N318),O318)</f>
        <v>0</v>
      </c>
    </row>
    <row r="319" spans="1:16" x14ac:dyDescent="0.3">
      <c r="A319" s="1"/>
      <c r="B319" s="1"/>
      <c r="C319" s="326" t="s">
        <v>459</v>
      </c>
      <c r="D319" s="296"/>
      <c r="E319" s="15">
        <f ca="1">IF(E318&gt;0,'B. Implementation Plan'!G133,0)</f>
        <v>0</v>
      </c>
      <c r="F319" s="15">
        <f ca="1">IF(F318&gt;0,'B. Implementation Plan'!G133,0)</f>
        <v>0</v>
      </c>
      <c r="G319" s="15">
        <f ca="1">IF(G318&gt;0,'B. Implementation Plan'!G133,0)</f>
        <v>0</v>
      </c>
      <c r="H319" s="15">
        <f ca="1">IF(H318&gt;0,'B. Implementation Plan'!G133,0)</f>
        <v>0</v>
      </c>
      <c r="I319" s="15">
        <f ca="1">IF(I318&gt;0,'B. Implementation Plan'!G133,0)</f>
        <v>0</v>
      </c>
      <c r="J319" s="15">
        <f ca="1">IF(J318&gt;0,'B. Implementation Plan'!G133,0)</f>
        <v>0</v>
      </c>
      <c r="K319" s="15">
        <f ca="1">IF(K318&gt;0,'B. Implementation Plan'!G133,0)</f>
        <v>0</v>
      </c>
      <c r="L319" s="15">
        <f ca="1">IF(L318&gt;0,'B. Implementation Plan'!G133,0)</f>
        <v>0</v>
      </c>
      <c r="M319" s="15">
        <f ca="1">IF(M318&gt;0,'B. Implementation Plan'!G133,0)</f>
        <v>0</v>
      </c>
      <c r="N319" s="15">
        <f ca="1">IF(N318&gt;0,'B. Implementation Plan'!G133,0)</f>
        <v>0</v>
      </c>
      <c r="O319" s="15">
        <f ca="1">IF(O318&gt;0,'B. Implementation Plan'!G133,0)</f>
        <v>0</v>
      </c>
      <c r="P319" s="78">
        <f ca="1">IF(O319=0,IF(N319=0,IF(M319=0,IF(L319=0,IF(K319=0,IF(J319=0,IF(I319=0,IF(H319=0,IF(G319=0,IF(F319=0,E319,F319),G319),H319),I319),J319),K319),L319),M319),N319),O319)</f>
        <v>0</v>
      </c>
    </row>
    <row r="320" spans="1:16" x14ac:dyDescent="0.3">
      <c r="C320" s="59" t="s">
        <v>460</v>
      </c>
      <c r="E320" s="324">
        <f ca="1">IF(E318&gt;0,ROUND('B. Implementation Plan'!G133*(1-'B. Implementation Plan'!P147)^E317,0),0)</f>
        <v>0</v>
      </c>
      <c r="F320" s="324">
        <f ca="1">IF(F318&gt;0,ROUND('B. Implementation Plan'!G133*(1-'B. Implementation Plan'!P147)^F317,0),0)</f>
        <v>0</v>
      </c>
      <c r="G320" s="324">
        <f ca="1">IF(G318&gt;0,ROUND('B. Implementation Plan'!G133*(1-'B. Implementation Plan'!P147)^G317,0),0)</f>
        <v>0</v>
      </c>
      <c r="H320" s="324">
        <f ca="1">IF(H318&gt;0,ROUND('B. Implementation Plan'!G133*(1-'B. Implementation Plan'!P147)^H317,0),0)</f>
        <v>0</v>
      </c>
      <c r="I320" s="324">
        <f ca="1">IF(I318&gt;0,ROUND('B. Implementation Plan'!G133*(1-'B. Implementation Plan'!P147)^I317,0),0)</f>
        <v>0</v>
      </c>
      <c r="J320" s="324">
        <f ca="1">IF(J318&gt;0,ROUND('B. Implementation Plan'!G133*(1-'B. Implementation Plan'!P147)^J317,0),0)</f>
        <v>0</v>
      </c>
      <c r="K320" s="324">
        <f ca="1">IF(K318&gt;0,ROUND('B. Implementation Plan'!G133*(1-'B. Implementation Plan'!P147)^K317,0),0)</f>
        <v>0</v>
      </c>
      <c r="L320" s="324">
        <f ca="1">IF(L318&gt;0,ROUND('B. Implementation Plan'!G133*(1-'B. Implementation Plan'!P147)^L317,0),0)</f>
        <v>0</v>
      </c>
      <c r="M320" s="324">
        <f ca="1">IF(M318&gt;0,ROUND('B. Implementation Plan'!G133*(1-'B. Implementation Plan'!P147)^M317,0),0)</f>
        <v>0</v>
      </c>
      <c r="N320" s="324">
        <f ca="1">IF(N318&gt;0,ROUND('B. Implementation Plan'!G133*(1-'B. Implementation Plan'!P147)^N317,0),0)</f>
        <v>0</v>
      </c>
      <c r="O320" s="324">
        <f ca="1">IF(O318&gt;0,ROUND('B. Implementation Plan'!G133*(1-'B. Implementation Plan'!P147)^O317,0),0)</f>
        <v>0</v>
      </c>
      <c r="P320" s="78">
        <f ca="1">IF(O320=0,IF(N320=0,IF(M320=0,IF(L320=0,IF(K320=0,IF(J320=0,IF(I320=0,IF(H320=0,IF(G320=0,IF(F320=0,E320,F320),G320),H320),I320),J320),K320),L320),M320),N320),O320)</f>
        <v>0</v>
      </c>
    </row>
    <row r="321" spans="3:16" s="1" customFormat="1" x14ac:dyDescent="0.3">
      <c r="C321" s="59" t="s">
        <v>480</v>
      </c>
      <c r="E321" s="380"/>
      <c r="F321" s="324">
        <f>IF('B. Implementation Plan'!P148=0,0,IF(F317&lt;=ROUNDUP(1/'B. Implementation Plan'!P148,0),ROUND(IF(AND(F317-1/'B. Implementation Plan'!P148&lt;1,F317-1/'B. Implementation Plan'!P148&gt;0),F320*MOD(1/'B. Implementation Plan'!P148,1)/(1/'B. Implementation Plan'!P148),MIN(F320-SUM(E321:E321),F320*'B. Implementation Plan'!P148)*(1-'B. Implementation Plan'!G134)*'B. Implementation Plan'!G140),0),0))</f>
        <v>0</v>
      </c>
      <c r="G321" s="324">
        <f>IF('B. Implementation Plan'!P148=0,0,IF(G317&lt;=ROUNDUP(1/'B. Implementation Plan'!P148,0),ROUND(IF(AND(G317-1/'B. Implementation Plan'!P148&lt;1,G317-1/'B. Implementation Plan'!P148&gt;0),G320*MOD(1/'B. Implementation Plan'!P148,1)/(1/'B. Implementation Plan'!P148),MIN(G320-SUM(E321:F321),G320*'B. Implementation Plan'!P148)*(1-'B. Implementation Plan'!G134)*'B. Implementation Plan'!G140),0),0))</f>
        <v>0</v>
      </c>
      <c r="H321" s="324">
        <f>IF('B. Implementation Plan'!P148=0,0,IF(H317&lt;=ROUNDUP(1/'B. Implementation Plan'!P148,0),ROUND(IF(AND(H317-1/'B. Implementation Plan'!P148&lt;1,H317-1/'B. Implementation Plan'!P148&gt;0),H320*MOD(1/'B. Implementation Plan'!P148,1)/(1/'B. Implementation Plan'!P148),MIN(H320-SUM(E321:G321),H320*'B. Implementation Plan'!P148)*(1-'B. Implementation Plan'!G134)*'B. Implementation Plan'!G140),0),0))</f>
        <v>0</v>
      </c>
      <c r="I321" s="324">
        <f>IF('B. Implementation Plan'!P148=0,0,IF(I317&lt;=ROUNDUP(1/'B. Implementation Plan'!P148,0),ROUND(IF(AND(I317-1/'B. Implementation Plan'!P148&lt;1,I317-1/'B. Implementation Plan'!P148&gt;0),I320*MOD(1/'B. Implementation Plan'!P148,1)/(1/'B. Implementation Plan'!P148),MIN(I320-SUM(E321:H321),I320*'B. Implementation Plan'!P148)*(1-'B. Implementation Plan'!G134)*'B. Implementation Plan'!G140),0),0))</f>
        <v>0</v>
      </c>
      <c r="J321" s="324">
        <f>IF('B. Implementation Plan'!P148=0,0,IF(J317&lt;=ROUNDUP(1/'B. Implementation Plan'!P148,0),ROUND(IF(AND(J317-1/'B. Implementation Plan'!P148&lt;1,J317-1/'B. Implementation Plan'!P148&gt;0),J320*MOD(1/'B. Implementation Plan'!P148,1)/(1/'B. Implementation Plan'!P148),MIN(J320-SUM(E321:I321),J320*'B. Implementation Plan'!P148)*(1-'B. Implementation Plan'!G134)*'B. Implementation Plan'!G140),0),0))</f>
        <v>0</v>
      </c>
      <c r="K321" s="324">
        <f>IF('B. Implementation Plan'!P148=0,0,IF(K317&lt;=ROUNDUP(1/'B. Implementation Plan'!P148,0),ROUND(IF(AND(K317-1/'B. Implementation Plan'!P148&lt;1,K317-1/'B. Implementation Plan'!P148&gt;0),K320*MOD(1/'B. Implementation Plan'!P148,1)/(1/'B. Implementation Plan'!P148),MIN(K320-SUM(E321:J321),K320*'B. Implementation Plan'!P148)*(1-'B. Implementation Plan'!G134)*'B. Implementation Plan'!G140),0),0))</f>
        <v>0</v>
      </c>
      <c r="L321" s="324">
        <f>IF('B. Implementation Plan'!P148=0,0,IF(L317&lt;=ROUNDUP(1/'B. Implementation Plan'!P148,0),ROUND(IF(AND(L317-1/'B. Implementation Plan'!P148&lt;1,L317-1/'B. Implementation Plan'!P148&gt;0),L320*MOD(1/'B. Implementation Plan'!P148,1)/(1/'B. Implementation Plan'!P148),MIN(L320-SUM(E321:K321),L320*'B. Implementation Plan'!P148)*(1-'B. Implementation Plan'!G134)*'B. Implementation Plan'!G140),0),0))</f>
        <v>0</v>
      </c>
      <c r="M321" s="324">
        <f>IF('B. Implementation Plan'!P148=0,0,IF(M317&lt;=ROUNDUP(1/'B. Implementation Plan'!P148,0),ROUND(IF(AND(M317-1/'B. Implementation Plan'!P148&lt;1,M317-1/'B. Implementation Plan'!P148&gt;0),M320*MOD(1/'B. Implementation Plan'!P148,1)/(1/'B. Implementation Plan'!P148),MIN(M320-SUM(E321:L321),M320*'B. Implementation Plan'!P148)*(1-'B. Implementation Plan'!G134)*'B. Implementation Plan'!G140),0),0))</f>
        <v>0</v>
      </c>
      <c r="N321" s="324">
        <f>IF('B. Implementation Plan'!P148=0,0,IF(N317&lt;=ROUNDUP(1/'B. Implementation Plan'!P148,0),ROUND(IF(AND(N317-1/'B. Implementation Plan'!P148&lt;1,N317-1/'B. Implementation Plan'!P148&gt;0),N320*MOD(1/'B. Implementation Plan'!P148,1)/(1/'B. Implementation Plan'!P148),MIN(N320-SUM(E321:M321),N320*'B. Implementation Plan'!P148)*(1-'B. Implementation Plan'!G134)*'B. Implementation Plan'!G140),0),0))</f>
        <v>0</v>
      </c>
      <c r="O321" s="324">
        <f>IF('B. Implementation Plan'!P148=0,0,IF(O317&lt;=ROUNDUP(1/'B. Implementation Plan'!P148,0),ROUND(IF(AND(O317-1/'B. Implementation Plan'!P148&lt;1,O317-1/'B. Implementation Plan'!P148&gt;0),O320*MOD(1/'B. Implementation Plan'!P148,1)/(1/'B. Implementation Plan'!P148),MIN(O320-SUM(E321:N321),O320*'B. Implementation Plan'!P148)*(1-'B. Implementation Plan'!G134)*'B. Implementation Plan'!G140),0),0))</f>
        <v>0</v>
      </c>
      <c r="P321" s="325">
        <f>SUM(E321:O321)</f>
        <v>0</v>
      </c>
    </row>
    <row r="322" spans="3:16" x14ac:dyDescent="0.3">
      <c r="C322" s="326" t="s">
        <v>458</v>
      </c>
      <c r="E322" s="15">
        <f t="shared" ref="E322:O322" ca="1" si="300">MAX(E318-E320,0)</f>
        <v>0</v>
      </c>
      <c r="F322" s="15">
        <f t="shared" ca="1" si="300"/>
        <v>0</v>
      </c>
      <c r="G322" s="15">
        <f t="shared" ca="1" si="300"/>
        <v>0</v>
      </c>
      <c r="H322" s="15">
        <f t="shared" ca="1" si="300"/>
        <v>0</v>
      </c>
      <c r="I322" s="15">
        <f t="shared" ca="1" si="300"/>
        <v>0</v>
      </c>
      <c r="J322" s="15">
        <f t="shared" ca="1" si="300"/>
        <v>0</v>
      </c>
      <c r="K322" s="15">
        <f t="shared" ca="1" si="300"/>
        <v>0</v>
      </c>
      <c r="L322" s="15">
        <f t="shared" ca="1" si="300"/>
        <v>0</v>
      </c>
      <c r="M322" s="15">
        <f t="shared" ca="1" si="300"/>
        <v>0</v>
      </c>
      <c r="N322" s="15">
        <f t="shared" ca="1" si="300"/>
        <v>0</v>
      </c>
      <c r="O322" s="366">
        <f t="shared" ca="1" si="300"/>
        <v>0</v>
      </c>
      <c r="P322" s="354">
        <f ca="1">IF(O322=0,IF(N322=0,IF(M322=0,IF(L322=0,IF(K322=0,IF(J322=0,IF(I322=0,IF(H322=0,IF(G322=0,IF(F322=0,E322,F322),G322),H322),I322),J322),K322),L322),M322),N322),O322)</f>
        <v>0</v>
      </c>
    </row>
    <row r="323" spans="3:16" ht="15" thickBot="1" x14ac:dyDescent="0.35">
      <c r="C323" s="59" t="s">
        <v>461</v>
      </c>
      <c r="E323" s="324">
        <f ca="1">IF(E318&gt;0,E322-D322+ROUND(D322*'B. Implementation Plan'!P147,0),0)</f>
        <v>0</v>
      </c>
      <c r="F323" s="324">
        <f ca="1">IF(F318&gt;0,F322-E322+ROUND(E322*'B. Implementation Plan'!P147,0),0)</f>
        <v>0</v>
      </c>
      <c r="G323" s="324">
        <f ca="1">IF(G318&gt;0,G322-F322+ROUND(F322*'B. Implementation Plan'!P147,0),0)</f>
        <v>0</v>
      </c>
      <c r="H323" s="324">
        <f ca="1">IF(H318&gt;0,H322-G322+ROUND(G322*'B. Implementation Plan'!P147,0),0)</f>
        <v>0</v>
      </c>
      <c r="I323" s="324">
        <f ca="1">IF(I318&gt;0,I322-H322+ROUND(H322*'B. Implementation Plan'!P147,0),0)</f>
        <v>0</v>
      </c>
      <c r="J323" s="324">
        <f ca="1">IF(J318&gt;0,J322-I322+ROUND(I322*'B. Implementation Plan'!P147,0),0)</f>
        <v>0</v>
      </c>
      <c r="K323" s="324">
        <f ca="1">IF(K318&gt;0,K322-J322+ROUND(J322*'B. Implementation Plan'!P147,0),0)</f>
        <v>0</v>
      </c>
      <c r="L323" s="324">
        <f ca="1">IF(L318&gt;0,L322-K322+ROUND(K322*'B. Implementation Plan'!P147,0),0)</f>
        <v>0</v>
      </c>
      <c r="M323" s="324">
        <f ca="1">IF(M318&gt;0,M322-L322+ROUND(L322*'B. Implementation Plan'!P147,0),0)</f>
        <v>0</v>
      </c>
      <c r="N323" s="324">
        <f ca="1">IF(N318&gt;0,N322-M322+ROUND(M322*'B. Implementation Plan'!P147,0),0)</f>
        <v>0</v>
      </c>
      <c r="O323" s="367">
        <f ca="1">IF(O318&gt;0,O322-N322+ROUND(N322*'B. Implementation Plan'!P147,0),0)</f>
        <v>0</v>
      </c>
      <c r="P323" s="79">
        <f ca="1">IF(O323=0,IF(N323=0,IF(M323=0,IF(L323=0,IF(K323=0,IF(J323=0,IF(I323=0,IF(H323=0,IF(G323=0,IF(F323=0,E323,F323),G323),H323),I323),J323),K323),L323),M323),N323),O323)</f>
        <v>0</v>
      </c>
    </row>
    <row r="324" spans="3:16" ht="15" thickBot="1" x14ac:dyDescent="0.35">
      <c r="C324" s="59" t="s">
        <v>474</v>
      </c>
    </row>
    <row r="325" spans="3:16" ht="15.6" x14ac:dyDescent="0.3">
      <c r="C325" s="326" t="s">
        <v>481</v>
      </c>
      <c r="F325" s="149">
        <v>1</v>
      </c>
      <c r="G325" s="149">
        <v>2</v>
      </c>
      <c r="H325" s="149">
        <v>3</v>
      </c>
      <c r="I325" s="149">
        <v>4</v>
      </c>
      <c r="J325" s="149">
        <v>5</v>
      </c>
      <c r="K325" s="149">
        <v>6</v>
      </c>
      <c r="L325" s="149">
        <v>7</v>
      </c>
      <c r="M325" s="149">
        <v>8</v>
      </c>
      <c r="N325" s="149">
        <v>9</v>
      </c>
      <c r="O325" s="374">
        <v>10</v>
      </c>
      <c r="P325" s="351" t="s">
        <v>2</v>
      </c>
    </row>
    <row r="326" spans="3:16" s="365" customFormat="1" x14ac:dyDescent="0.3">
      <c r="C326" s="370">
        <v>1</v>
      </c>
      <c r="E326"/>
      <c r="F326" s="347">
        <f>IF($C326&lt;=ROUNDUP('B. Implementation Plan'!P155,0),ROUND(IF(AND($C326-'B. Implementation Plan'!P155&lt;1,$C326-'B. Implementation Plan'!P155&gt;0),MOD('B. Implementation Plan'!P155,1)*F321*'B. Implementation Plan'!G142*(1-'B. Implementation Plan'!P147)^($C326-1),F321*'B. Implementation Plan'!G142*(1-'B. Implementation Plan'!P147)^($C326-1)),0),0)</f>
        <v>0</v>
      </c>
      <c r="G326" s="347">
        <f>IF($C326&lt;=ROUNDUP('B. Implementation Plan'!P155,0),ROUND(IF(AND($C326-'B. Implementation Plan'!P155&lt;1,$C326-'B. Implementation Plan'!P155&gt;0),MOD('B. Implementation Plan'!P155,1)*G321*'B. Implementation Plan'!G142*(1-'B. Implementation Plan'!P147)^($C326-1),G321*'B. Implementation Plan'!G142*(1-'B. Implementation Plan'!P147)^($C326-1)),0),0)</f>
        <v>0</v>
      </c>
      <c r="H326" s="347">
        <f>IF($C326&lt;=ROUNDUP('B. Implementation Plan'!P155,0),ROUND(IF(AND($C326-'B. Implementation Plan'!P155&lt;1,$C326-'B. Implementation Plan'!P155&gt;0),MOD('B. Implementation Plan'!P155,1)*H321*'B. Implementation Plan'!G142*(1-'B. Implementation Plan'!P147)^($C326-1),H321*'B. Implementation Plan'!G142*(1-'B. Implementation Plan'!P147)^($C326-1)),0),0)</f>
        <v>0</v>
      </c>
      <c r="I326" s="347">
        <f>IF($C326&lt;=ROUNDUP('B. Implementation Plan'!P155,0),ROUND(IF(AND($C326-'B. Implementation Plan'!P155&lt;1,$C326-'B. Implementation Plan'!P155&gt;0),MOD('B. Implementation Plan'!P155,1)*I321*'B. Implementation Plan'!G142*(1-'B. Implementation Plan'!P147)^($C326-1),I321*'B. Implementation Plan'!G142*(1-'B. Implementation Plan'!P147)^($C326-1)),0),0)</f>
        <v>0</v>
      </c>
      <c r="J326" s="347">
        <f>IF($C326&lt;=ROUNDUP('B. Implementation Plan'!P155,0),ROUND(IF(AND($C326-'B. Implementation Plan'!P155&lt;1,$C326-'B. Implementation Plan'!P155&gt;0),MOD('B. Implementation Plan'!P155,1)*J321*'B. Implementation Plan'!G142*(1-'B. Implementation Plan'!P147)^($C326-1),J321*'B. Implementation Plan'!G142*(1-'B. Implementation Plan'!P147)^($C326-1)),0),0)</f>
        <v>0</v>
      </c>
      <c r="K326" s="347">
        <f>IF($C326&lt;=ROUNDUP('B. Implementation Plan'!P155,0),ROUND(IF(AND($C326-'B. Implementation Plan'!P155&lt;1,$C326-'B. Implementation Plan'!P155&gt;0),MOD('B. Implementation Plan'!P155,1)*K321*'B. Implementation Plan'!G142*(1-'B. Implementation Plan'!P147)^($C326-1),K321*'B. Implementation Plan'!G142*(1-'B. Implementation Plan'!P147)^($C326-1)),0),0)</f>
        <v>0</v>
      </c>
      <c r="L326" s="347">
        <f>IF($C326&lt;=ROUNDUP('B. Implementation Plan'!P155,0),ROUND(IF(AND($C326-'B. Implementation Plan'!P155&lt;1,$C326-'B. Implementation Plan'!P155&gt;0),MOD('B. Implementation Plan'!P155,1)*L321*'B. Implementation Plan'!G142*(1-'B. Implementation Plan'!P147)^($C326-1),L321*'B. Implementation Plan'!G142*(1-'B. Implementation Plan'!P147)^($C326-1)),0),0)</f>
        <v>0</v>
      </c>
      <c r="M326" s="347">
        <f>IF($C326&lt;=ROUNDUP('B. Implementation Plan'!P155,0),ROUND(IF(AND($C326-'B. Implementation Plan'!P155&lt;1,$C326-'B. Implementation Plan'!P155&gt;0),MOD('B. Implementation Plan'!P155,1)*M321*'B. Implementation Plan'!G142*(1-'B. Implementation Plan'!P147)^($C326-1),M321*'B. Implementation Plan'!G142*(1-'B. Implementation Plan'!P147)^($C326-1)),0),0)</f>
        <v>0</v>
      </c>
      <c r="N326" s="347">
        <f>IF($C326&lt;=ROUNDUP('B. Implementation Plan'!P155,0),ROUND(IF(AND($C326-'B. Implementation Plan'!P155&lt;1,$C326-'B. Implementation Plan'!P155&gt;0),MOD('B. Implementation Plan'!P155,1)*N321*'B. Implementation Plan'!G142*(1-'B. Implementation Plan'!P147)^($C326-1),N321*'B. Implementation Plan'!G142*(1-'B. Implementation Plan'!P147)^($C326-1)),0),0)</f>
        <v>0</v>
      </c>
      <c r="O326" s="347">
        <f>IF($C326&lt;=ROUNDUP('B. Implementation Plan'!P155,0),ROUND(IF(AND($C326-'B. Implementation Plan'!P155&lt;1,$C326-'B. Implementation Plan'!P155&gt;0),MOD('B. Implementation Plan'!P155,1)*O321*'B. Implementation Plan'!G142*(1-'B. Implementation Plan'!P147)^($C326-1),O321*'B. Implementation Plan'!G142*(1-'B. Implementation Plan'!P147)^($C326-1)),0),0)</f>
        <v>0</v>
      </c>
      <c r="P326" s="78" t="str">
        <f>IF(SUM(F326:O326)&gt;0,SUM(F326:O326),"")</f>
        <v/>
      </c>
    </row>
    <row r="327" spans="3:16" s="365" customFormat="1" x14ac:dyDescent="0.3">
      <c r="C327" s="370">
        <v>2</v>
      </c>
      <c r="E327"/>
      <c r="F327"/>
      <c r="G327" s="347">
        <f>IF($C327&lt;=ROUNDUP('B. Implementation Plan'!P155,0),ROUND(IF(AND($C327-'B. Implementation Plan'!P155&lt;1,$C327-'B. Implementation Plan'!P155&gt;0),MOD('B. Implementation Plan'!P155,1)*F321*'B. Implementation Plan'!G142*(1-'B. Implementation Plan'!P147)^($C327-1),F321*'B. Implementation Plan'!G142*(1-'B. Implementation Plan'!P147)^($C327-1)),0),0)</f>
        <v>0</v>
      </c>
      <c r="H327" s="347">
        <f>IF($C327&lt;=ROUNDUP('B. Implementation Plan'!P155,0),ROUND(IF(AND($C327-'B. Implementation Plan'!P155&lt;1,$C327-'B. Implementation Plan'!P155&gt;0),MOD('B. Implementation Plan'!P155,1)*G321*'B. Implementation Plan'!G142*(1-'B. Implementation Plan'!P147)^($C327-1),G321*'B. Implementation Plan'!G142*(1-'B. Implementation Plan'!P147)^($C327-1)),0),0)</f>
        <v>0</v>
      </c>
      <c r="I327" s="347">
        <f>IF($C327&lt;=ROUNDUP('B. Implementation Plan'!P155,0),ROUND(IF(AND($C327-'B. Implementation Plan'!P155&lt;1,$C327-'B. Implementation Plan'!P155&gt;0),MOD('B. Implementation Plan'!P155,1)*H321*'B. Implementation Plan'!G142*(1-'B. Implementation Plan'!P147)^($C327-1),H321*'B. Implementation Plan'!G142*(1-'B. Implementation Plan'!P147)^($C327-1)),0),0)</f>
        <v>0</v>
      </c>
      <c r="J327" s="347">
        <f>IF($C327&lt;=ROUNDUP('B. Implementation Plan'!P155,0),ROUND(IF(AND($C327-'B. Implementation Plan'!P155&lt;1,$C327-'B. Implementation Plan'!P155&gt;0),MOD('B. Implementation Plan'!P155,1)*I321*'B. Implementation Plan'!G142*(1-'B. Implementation Plan'!P147)^($C327-1),I321*'B. Implementation Plan'!G142*(1-'B. Implementation Plan'!P147)^($C327-1)),0),0)</f>
        <v>0</v>
      </c>
      <c r="K327" s="347">
        <f>IF($C327&lt;=ROUNDUP('B. Implementation Plan'!P155,0),ROUND(IF(AND($C327-'B. Implementation Plan'!P155&lt;1,$C327-'B. Implementation Plan'!P155&gt;0),MOD('B. Implementation Plan'!P155,1)*J321*'B. Implementation Plan'!G142*(1-'B. Implementation Plan'!P147)^($C327-1),J321*'B. Implementation Plan'!G142*(1-'B. Implementation Plan'!P147)^($C327-1)),0),0)</f>
        <v>0</v>
      </c>
      <c r="L327" s="347">
        <f>IF($C327&lt;=ROUNDUP('B. Implementation Plan'!P155,0),ROUND(IF(AND($C327-'B. Implementation Plan'!P155&lt;1,$C327-'B. Implementation Plan'!P155&gt;0),MOD('B. Implementation Plan'!P155,1)*K321*'B. Implementation Plan'!G142*(1-'B. Implementation Plan'!P147)^($C327-1),K321*'B. Implementation Plan'!G142*(1-'B. Implementation Plan'!P147)^($C327-1)),0),0)</f>
        <v>0</v>
      </c>
      <c r="M327" s="347">
        <f>IF($C327&lt;=ROUNDUP('B. Implementation Plan'!P155,0),ROUND(IF(AND($C327-'B. Implementation Plan'!P155&lt;1,$C327-'B. Implementation Plan'!P155&gt;0),MOD('B. Implementation Plan'!P155,1)*L321*'B. Implementation Plan'!G142*(1-'B. Implementation Plan'!P147)^($C327-1),L321*'B. Implementation Plan'!G142*(1-'B. Implementation Plan'!P147)^($C327-1)),0),0)</f>
        <v>0</v>
      </c>
      <c r="N327" s="347">
        <f>IF($C327&lt;=ROUNDUP('B. Implementation Plan'!P155,0),ROUND(IF(AND($C327-'B. Implementation Plan'!P155&lt;1,$C327-'B. Implementation Plan'!P155&gt;0),MOD('B. Implementation Plan'!P155,1)*M321*'B. Implementation Plan'!G142*(1-'B. Implementation Plan'!P147)^($C327-1),M321*'B. Implementation Plan'!G142*(1-'B. Implementation Plan'!P147)^($C327-1)),0),0)</f>
        <v>0</v>
      </c>
      <c r="O327" s="347">
        <f>IF($C327&lt;=ROUNDUP('B. Implementation Plan'!P155,0),ROUND(IF(AND($C327-'B. Implementation Plan'!P155&lt;1,$C327-'B. Implementation Plan'!P155&gt;0),MOD('B. Implementation Plan'!P155,1)*N321*'B. Implementation Plan'!G142*(1-'B. Implementation Plan'!P147)^($C327-1),N321*'B. Implementation Plan'!G142*(1-'B. Implementation Plan'!P147)^($C327-1)),0),0)</f>
        <v>0</v>
      </c>
      <c r="P327" s="78" t="str">
        <f t="shared" ref="P327:P335" si="301">IF(SUM(F327:O327)&gt;0,SUM(F327:O327),"")</f>
        <v/>
      </c>
    </row>
    <row r="328" spans="3:16" s="365" customFormat="1" x14ac:dyDescent="0.3">
      <c r="C328" s="370">
        <v>3</v>
      </c>
      <c r="E328"/>
      <c r="F328"/>
      <c r="G328"/>
      <c r="H328" s="347">
        <f>IF($C328&lt;=ROUNDUP('B. Implementation Plan'!P155,0),ROUND(IF(AND($C328-'B. Implementation Plan'!P155&lt;1,$C328-'B. Implementation Plan'!P155&gt;0),MOD('B. Implementation Plan'!P155,1)*F321*'B. Implementation Plan'!G142*(1-'B. Implementation Plan'!P147)^($C328-1),F321*'B. Implementation Plan'!G142*(1-'B. Implementation Plan'!P147)^($C328-1)),0),0)</f>
        <v>0</v>
      </c>
      <c r="I328" s="347">
        <f>IF($C328&lt;=ROUNDUP('B. Implementation Plan'!P155,0),ROUND(IF(AND($C328-'B. Implementation Plan'!P155&lt;1,$C328-'B. Implementation Plan'!P155&gt;0),MOD('B. Implementation Plan'!P155,1)*G321*'B. Implementation Plan'!G142*(1-'B. Implementation Plan'!P147)^($C328-1),G321*'B. Implementation Plan'!G142*(1-'B. Implementation Plan'!P147)^($C328-1)),0),0)</f>
        <v>0</v>
      </c>
      <c r="J328" s="347">
        <f>IF($C328&lt;=ROUNDUP('B. Implementation Plan'!P155,0),ROUND(IF(AND($C328-'B. Implementation Plan'!P155&lt;1,$C328-'B. Implementation Plan'!P155&gt;0),MOD('B. Implementation Plan'!P155,1)*H321*'B. Implementation Plan'!G142*(1-'B. Implementation Plan'!P147)^($C328-1),H321*'B. Implementation Plan'!G142*(1-'B. Implementation Plan'!P147)^($C328-1)),0),0)</f>
        <v>0</v>
      </c>
      <c r="K328" s="347">
        <f>IF($C328&lt;=ROUNDUP('B. Implementation Plan'!P155,0),ROUND(IF(AND($C328-'B. Implementation Plan'!P155&lt;1,$C328-'B. Implementation Plan'!P155&gt;0),MOD('B. Implementation Plan'!P155,1)*I321*'B. Implementation Plan'!G142*(1-'B. Implementation Plan'!P147)^($C328-1),I321*'B. Implementation Plan'!G142*(1-'B. Implementation Plan'!P147)^($C328-1)),0),0)</f>
        <v>0</v>
      </c>
      <c r="L328" s="347">
        <f>IF($C328&lt;=ROUNDUP('B. Implementation Plan'!P155,0),ROUND(IF(AND($C328-'B. Implementation Plan'!P155&lt;1,$C328-'B. Implementation Plan'!P155&gt;0),MOD('B. Implementation Plan'!P155,1)*J321*'B. Implementation Plan'!G142*(1-'B. Implementation Plan'!P147)^($C328-1),J321*'B. Implementation Plan'!G142*(1-'B. Implementation Plan'!P147)^($C328-1)),0),0)</f>
        <v>0</v>
      </c>
      <c r="M328" s="347">
        <f>IF($C328&lt;=ROUNDUP('B. Implementation Plan'!P155,0),ROUND(IF(AND($C328-'B. Implementation Plan'!P155&lt;1,$C328-'B. Implementation Plan'!P155&gt;0),MOD('B. Implementation Plan'!P155,1)*K321*'B. Implementation Plan'!G142*(1-'B. Implementation Plan'!P147)^($C328-1),K321*'B. Implementation Plan'!G142*(1-'B. Implementation Plan'!P147)^($C328-1)),0),0)</f>
        <v>0</v>
      </c>
      <c r="N328" s="347">
        <f>IF($C328&lt;=ROUNDUP('B. Implementation Plan'!P155,0),ROUND(IF(AND($C328-'B. Implementation Plan'!P155&lt;1,$C328-'B. Implementation Plan'!P155&gt;0),MOD('B. Implementation Plan'!P155,1)*L321*'B. Implementation Plan'!G142*(1-'B. Implementation Plan'!P147)^($C328-1),L321*'B. Implementation Plan'!G142*(1-'B. Implementation Plan'!P147)^($C328-1)),0),0)</f>
        <v>0</v>
      </c>
      <c r="O328" s="347">
        <f>IF($C328&lt;=ROUNDUP('B. Implementation Plan'!P155,0),ROUND(IF(AND($C328-'B. Implementation Plan'!P155&lt;1,$C328-'B. Implementation Plan'!P155&gt;0),MOD('B. Implementation Plan'!P155,1)*M321*'B. Implementation Plan'!G142*(1-'B. Implementation Plan'!P147)^($C328-1),M321*'B. Implementation Plan'!G142*(1-'B. Implementation Plan'!P147)^($C328-1)),0),0)</f>
        <v>0</v>
      </c>
      <c r="P328" s="78" t="str">
        <f t="shared" si="301"/>
        <v/>
      </c>
    </row>
    <row r="329" spans="3:16" s="365" customFormat="1" x14ac:dyDescent="0.3">
      <c r="C329" s="370">
        <v>4</v>
      </c>
      <c r="E329"/>
      <c r="F329"/>
      <c r="G329"/>
      <c r="H329"/>
      <c r="I329" s="347">
        <f>IF($C329&lt;=ROUNDUP('B. Implementation Plan'!P155,0),ROUND(IF(AND($C329-'B. Implementation Plan'!P155&lt;1,$C329-'B. Implementation Plan'!P155&gt;0),MOD('B. Implementation Plan'!P155,1)*F321*'B. Implementation Plan'!G142*(1-'B. Implementation Plan'!P147)^($C329-1),F321*'B. Implementation Plan'!G142*(1-'B. Implementation Plan'!P147)^($C329-1)),0),0)</f>
        <v>0</v>
      </c>
      <c r="J329" s="347">
        <f>IF($C329&lt;=ROUNDUP('B. Implementation Plan'!P155,0),ROUND(IF(AND($C329-'B. Implementation Plan'!P155&lt;1,$C329-'B. Implementation Plan'!P155&gt;0),MOD('B. Implementation Plan'!P155,1)*G321*'B. Implementation Plan'!G142*(1-'B. Implementation Plan'!P147)^($C329-1),G321*'B. Implementation Plan'!G142*(1-'B. Implementation Plan'!P147)^($C329-1)),0),0)</f>
        <v>0</v>
      </c>
      <c r="K329" s="347">
        <f>IF($C329&lt;=ROUNDUP('B. Implementation Plan'!P155,0),ROUND(IF(AND($C329-'B. Implementation Plan'!P155&lt;1,$C329-'B. Implementation Plan'!P155&gt;0),MOD('B. Implementation Plan'!P155,1)*H321*'B. Implementation Plan'!G142*(1-'B. Implementation Plan'!P147)^($C329-1),H321*'B. Implementation Plan'!G142*(1-'B. Implementation Plan'!P147)^($C329-1)),0),0)</f>
        <v>0</v>
      </c>
      <c r="L329" s="347">
        <f>IF($C329&lt;=ROUNDUP('B. Implementation Plan'!P155,0),ROUND(IF(AND($C329-'B. Implementation Plan'!P155&lt;1,$C329-'B. Implementation Plan'!P155&gt;0),MOD('B. Implementation Plan'!P155,1)*I321*'B. Implementation Plan'!G142*(1-'B. Implementation Plan'!P147)^($C329-1),I321*'B. Implementation Plan'!G142*(1-'B. Implementation Plan'!P147)^($C329-1)),0),0)</f>
        <v>0</v>
      </c>
      <c r="M329" s="347">
        <f>IF($C329&lt;=ROUNDUP('B. Implementation Plan'!P155,0),ROUND(IF(AND($C329-'B. Implementation Plan'!P155&lt;1,$C329-'B. Implementation Plan'!P155&gt;0),MOD('B. Implementation Plan'!P155,1)*J321*'B. Implementation Plan'!G142*(1-'B. Implementation Plan'!P147)^($C329-1),J321*'B. Implementation Plan'!G142*(1-'B. Implementation Plan'!P147)^($C329-1)),0),0)</f>
        <v>0</v>
      </c>
      <c r="N329" s="347">
        <f>IF($C329&lt;=ROUNDUP('B. Implementation Plan'!P155,0),ROUND(IF(AND($C329-'B. Implementation Plan'!P155&lt;1,$C329-'B. Implementation Plan'!P155&gt;0),MOD('B. Implementation Plan'!P155,1)*K321*'B. Implementation Plan'!G142*(1-'B. Implementation Plan'!P147)^($C329-1),K321*'B. Implementation Plan'!G142*(1-'B. Implementation Plan'!P147)^($C329-1)),0),0)</f>
        <v>0</v>
      </c>
      <c r="O329" s="347">
        <f>IF($C329&lt;=ROUNDUP('B. Implementation Plan'!P155,0),ROUND(IF(AND($C329-'B. Implementation Plan'!P155&lt;1,$C329-'B. Implementation Plan'!P155&gt;0),MOD('B. Implementation Plan'!P155,1)*L321*'B. Implementation Plan'!G142*(1-'B. Implementation Plan'!P147)^($C329-1),L321*'B. Implementation Plan'!G142*(1-'B. Implementation Plan'!P147)^($C329-1)),0),0)</f>
        <v>0</v>
      </c>
      <c r="P329" s="78" t="str">
        <f t="shared" si="301"/>
        <v/>
      </c>
    </row>
    <row r="330" spans="3:16" s="365" customFormat="1" x14ac:dyDescent="0.3">
      <c r="C330" s="370">
        <v>5</v>
      </c>
      <c r="E330"/>
      <c r="F330"/>
      <c r="G330"/>
      <c r="H330"/>
      <c r="I330"/>
      <c r="J330" s="347">
        <f>IF($C330&lt;=ROUNDUP('B. Implementation Plan'!P155,0),ROUND(IF(AND($C330-'B. Implementation Plan'!P155&lt;1,$C330-'B. Implementation Plan'!P155&gt;0),MOD('B. Implementation Plan'!P155,1)*F321*'B. Implementation Plan'!G142*(1-'B. Implementation Plan'!P147)^($C330-1),F321*'B. Implementation Plan'!G142*(1-'B. Implementation Plan'!P147)^($C330-1)),0),0)</f>
        <v>0</v>
      </c>
      <c r="K330" s="347">
        <f>IF($C330&lt;=ROUNDUP('B. Implementation Plan'!P155,0),ROUND(IF(AND($C330-'B. Implementation Plan'!P155&lt;1,$C330-'B. Implementation Plan'!P155&gt;0),MOD('B. Implementation Plan'!P155,1)*G321*'B. Implementation Plan'!G142*(1-'B. Implementation Plan'!P147)^($C330-1),G321*'B. Implementation Plan'!G142*(1-'B. Implementation Plan'!P147)^($C330-1)),0),0)</f>
        <v>0</v>
      </c>
      <c r="L330" s="347">
        <f>IF($C330&lt;=ROUNDUP('B. Implementation Plan'!P155,0),ROUND(IF(AND($C330-'B. Implementation Plan'!P155&lt;1,$C330-'B. Implementation Plan'!P155&gt;0),MOD('B. Implementation Plan'!P155,1)*H321*'B. Implementation Plan'!G142*(1-'B. Implementation Plan'!P147)^($C330-1),H321*'B. Implementation Plan'!G142*(1-'B. Implementation Plan'!P147)^($C330-1)),0),0)</f>
        <v>0</v>
      </c>
      <c r="M330" s="347">
        <f>IF($C330&lt;=ROUNDUP('B. Implementation Plan'!P155,0),ROUND(IF(AND($C330-'B. Implementation Plan'!P155&lt;1,$C330-'B. Implementation Plan'!P155&gt;0),MOD('B. Implementation Plan'!P155,1)*I321*'B. Implementation Plan'!G142*(1-'B. Implementation Plan'!P147)^($C330-1),I321*'B. Implementation Plan'!G142*(1-'B. Implementation Plan'!P147)^($C330-1)),0),0)</f>
        <v>0</v>
      </c>
      <c r="N330" s="347">
        <f>IF($C330&lt;=ROUNDUP('B. Implementation Plan'!P155,0),ROUND(IF(AND($C330-'B. Implementation Plan'!P155&lt;1,$C330-'B. Implementation Plan'!P155&gt;0),MOD('B. Implementation Plan'!P155,1)*J321*'B. Implementation Plan'!G142*(1-'B. Implementation Plan'!P147)^($C330-1),J321*'B. Implementation Plan'!G142*(1-'B. Implementation Plan'!P147)^($C330-1)),0),0)</f>
        <v>0</v>
      </c>
      <c r="O330" s="347">
        <f>IF($C330&lt;=ROUNDUP('B. Implementation Plan'!P155,0),ROUND(IF(AND($C330-'B. Implementation Plan'!P155&lt;1,$C330-'B. Implementation Plan'!P155&gt;0),MOD('B. Implementation Plan'!P155,1)*K321*'B. Implementation Plan'!G142*(1-'B. Implementation Plan'!P147)^($C330-1),K321*'B. Implementation Plan'!G142*(1-'B. Implementation Plan'!P147)^($C330-1)),0),0)</f>
        <v>0</v>
      </c>
      <c r="P330" s="78" t="str">
        <f t="shared" si="301"/>
        <v/>
      </c>
    </row>
    <row r="331" spans="3:16" s="365" customFormat="1" x14ac:dyDescent="0.3">
      <c r="C331" s="370">
        <v>6</v>
      </c>
      <c r="E331"/>
      <c r="F331"/>
      <c r="G331"/>
      <c r="H331"/>
      <c r="I331"/>
      <c r="J331"/>
      <c r="K331" s="347">
        <f>IF($C331&lt;=ROUNDUP('B. Implementation Plan'!P155,0),ROUND(IF(AND($C331-'B. Implementation Plan'!P155&lt;1,$C331-'B. Implementation Plan'!P155&gt;0),MOD('B. Implementation Plan'!P155,1)*F321*'B. Implementation Plan'!G142*(1-'B. Implementation Plan'!P147)^($C331-1),F321*'B. Implementation Plan'!G142*(1-'B. Implementation Plan'!P147)^($C331-1)),0),0)</f>
        <v>0</v>
      </c>
      <c r="L331" s="347">
        <f>IF($C331&lt;=ROUNDUP('B. Implementation Plan'!P155,0),ROUND(IF(AND($C331-'B. Implementation Plan'!P155&lt;1,$C331-'B. Implementation Plan'!P155&gt;0),MOD('B. Implementation Plan'!P155,1)*G321*'B. Implementation Plan'!G142*(1-'B. Implementation Plan'!P147)^($C331-1),G321*'B. Implementation Plan'!G142*(1-'B. Implementation Plan'!P147)^($C331-1)),0),0)</f>
        <v>0</v>
      </c>
      <c r="M331" s="347">
        <f>IF($C331&lt;=ROUNDUP('B. Implementation Plan'!P155,0),ROUND(IF(AND($C331-'B. Implementation Plan'!P155&lt;1,$C331-'B. Implementation Plan'!P155&gt;0),MOD('B. Implementation Plan'!P155,1)*H321*'B. Implementation Plan'!G142*(1-'B. Implementation Plan'!P147)^($C331-1),H321*'B. Implementation Plan'!G142*(1-'B. Implementation Plan'!P147)^($C331-1)),0),0)</f>
        <v>0</v>
      </c>
      <c r="N331" s="347">
        <f>IF($C331&lt;=ROUNDUP('B. Implementation Plan'!P155,0),ROUND(IF(AND($C331-'B. Implementation Plan'!P155&lt;1,$C331-'B. Implementation Plan'!P155&gt;0),MOD('B. Implementation Plan'!P155,1)*I321*'B. Implementation Plan'!G142*(1-'B. Implementation Plan'!P147)^($C331-1),I321*'B. Implementation Plan'!G142*(1-'B. Implementation Plan'!P147)^($C331-1)),0),0)</f>
        <v>0</v>
      </c>
      <c r="O331" s="347">
        <f>IF($C331&lt;=ROUNDUP('B. Implementation Plan'!P155,0),ROUND(IF(AND($C331-'B. Implementation Plan'!P155&lt;1,$C331-'B. Implementation Plan'!P155&gt;0),MOD('B. Implementation Plan'!P155,1)*J321*'B. Implementation Plan'!G142*(1-'B. Implementation Plan'!P147)^($C331-1),J321*'B. Implementation Plan'!G142*(1-'B. Implementation Plan'!P147)^($C331-1)),0),0)</f>
        <v>0</v>
      </c>
      <c r="P331" s="78" t="str">
        <f t="shared" si="301"/>
        <v/>
      </c>
    </row>
    <row r="332" spans="3:16" s="365" customFormat="1" x14ac:dyDescent="0.3">
      <c r="C332" s="370">
        <v>7</v>
      </c>
      <c r="E332"/>
      <c r="F332"/>
      <c r="G332"/>
      <c r="H332"/>
      <c r="I332"/>
      <c r="J332"/>
      <c r="K332"/>
      <c r="L332" s="347">
        <f>IF($C332&lt;=ROUNDUP('B. Implementation Plan'!P155,0),ROUND(IF(AND($C332-'B. Implementation Plan'!P155&lt;1,$C332-'B. Implementation Plan'!P155&gt;0),MOD('B. Implementation Plan'!P155,1)*F321*'B. Implementation Plan'!G142*(1-'B. Implementation Plan'!P147)^($C332-1),F321*'B. Implementation Plan'!G142*(1-'B. Implementation Plan'!P147)^($C332-1)),0),0)</f>
        <v>0</v>
      </c>
      <c r="M332" s="347">
        <f>IF($C332&lt;=ROUNDUP('B. Implementation Plan'!P155,0),ROUND(IF(AND($C332-'B. Implementation Plan'!P155&lt;1,$C332-'B. Implementation Plan'!P155&gt;0),MOD('B. Implementation Plan'!P155,1)*G321*'B. Implementation Plan'!G142*(1-'B. Implementation Plan'!P147)^($C332-1),G321*'B. Implementation Plan'!G142*(1-'B. Implementation Plan'!P147)^($C332-1)),0),0)</f>
        <v>0</v>
      </c>
      <c r="N332" s="347">
        <f>IF($C332&lt;=ROUNDUP('B. Implementation Plan'!P155,0),ROUND(IF(AND($C332-'B. Implementation Plan'!P155&lt;1,$C332-'B. Implementation Plan'!P155&gt;0),MOD('B. Implementation Plan'!P155,1)*H321*'B. Implementation Plan'!G142*(1-'B. Implementation Plan'!P147)^($C332-1),H321*'B. Implementation Plan'!G142*(1-'B. Implementation Plan'!P147)^($C332-1)),0),0)</f>
        <v>0</v>
      </c>
      <c r="O332" s="347">
        <f>IF($C332&lt;=ROUNDUP('B. Implementation Plan'!P155,0),ROUND(IF(AND($C332-'B. Implementation Plan'!P155&lt;1,$C332-'B. Implementation Plan'!P155&gt;0),MOD('B. Implementation Plan'!P155,1)*I321*'B. Implementation Plan'!G142*(1-'B. Implementation Plan'!P147)^($C332-1),I321*'B. Implementation Plan'!G142*(1-'B. Implementation Plan'!P147)^($C332-1)),0),0)</f>
        <v>0</v>
      </c>
      <c r="P332" s="78" t="str">
        <f t="shared" si="301"/>
        <v/>
      </c>
    </row>
    <row r="333" spans="3:16" s="365" customFormat="1" x14ac:dyDescent="0.3">
      <c r="C333" s="370">
        <v>8</v>
      </c>
      <c r="E333"/>
      <c r="F333"/>
      <c r="G333"/>
      <c r="H333"/>
      <c r="I333"/>
      <c r="J333"/>
      <c r="K333"/>
      <c r="L333"/>
      <c r="M333" s="347">
        <f>IF($C333&lt;=ROUNDUP('B. Implementation Plan'!P155,0),ROUND(IF(AND($C333-'B. Implementation Plan'!P155&lt;1,$C333-'B. Implementation Plan'!P155&gt;0),MOD('B. Implementation Plan'!P155,1)*F321*'B. Implementation Plan'!G142*(1-'B. Implementation Plan'!P147)^($C333-1),F321*'B. Implementation Plan'!G142*(1-'B. Implementation Plan'!P147)^($C333-1)),0),0)</f>
        <v>0</v>
      </c>
      <c r="N333" s="347">
        <f>IF($C333&lt;=ROUNDUP('B. Implementation Plan'!P155,0),ROUND(IF(AND($C333-'B. Implementation Plan'!P155&lt;1,$C333-'B. Implementation Plan'!P155&gt;0),MOD('B. Implementation Plan'!P155,1)*G321*'B. Implementation Plan'!G142*(1-'B. Implementation Plan'!P147)^($C333-1),G321*'B. Implementation Plan'!G142*(1-'B. Implementation Plan'!P147)^($C333-1)),0),0)</f>
        <v>0</v>
      </c>
      <c r="O333" s="347">
        <f>IF($C333&lt;=ROUNDUP('B. Implementation Plan'!P155,0),ROUND(IF(AND($C333-'B. Implementation Plan'!P155&lt;1,$C333-'B. Implementation Plan'!P155&gt;0),MOD('B. Implementation Plan'!P155,1)*H321*'B. Implementation Plan'!G142*(1-'B. Implementation Plan'!P147)^($C333-1),H321*'B. Implementation Plan'!G142*(1-'B. Implementation Plan'!P147)^($C333-1)),0),0)</f>
        <v>0</v>
      </c>
      <c r="P333" s="78" t="str">
        <f t="shared" si="301"/>
        <v/>
      </c>
    </row>
    <row r="334" spans="3:16" s="365" customFormat="1" x14ac:dyDescent="0.3">
      <c r="C334" s="370">
        <v>9</v>
      </c>
      <c r="E334"/>
      <c r="F334"/>
      <c r="G334"/>
      <c r="H334"/>
      <c r="I334"/>
      <c r="J334"/>
      <c r="K334"/>
      <c r="L334"/>
      <c r="M334"/>
      <c r="N334" s="347">
        <f>IF($C334&lt;=ROUNDUP('B. Implementation Plan'!P155,0),ROUND(IF(AND($C334-'B. Implementation Plan'!P155&lt;1,$C334-'B. Implementation Plan'!P155&gt;0),MOD('B. Implementation Plan'!P155,1)*F321*'B. Implementation Plan'!G142*(1-'B. Implementation Plan'!P147)^($C334-1),F321*'B. Implementation Plan'!G142*(1-'B. Implementation Plan'!P147)^($C334-1)),0),0)</f>
        <v>0</v>
      </c>
      <c r="O334" s="347">
        <f>IF($C334&lt;=ROUNDUP('B. Implementation Plan'!P155,0),ROUND(IF(AND($C334-'B. Implementation Plan'!P155&lt;1,$C334-'B. Implementation Plan'!P155&gt;0),MOD('B. Implementation Plan'!P155,1)*G321*'B. Implementation Plan'!G142*(1-'B. Implementation Plan'!P147)^($C334-1),G321*'B. Implementation Plan'!G142*(1-'B. Implementation Plan'!P147)^($C334-1)),0),0)</f>
        <v>0</v>
      </c>
      <c r="P334" s="78" t="str">
        <f t="shared" si="301"/>
        <v/>
      </c>
    </row>
    <row r="335" spans="3:16" s="365" customFormat="1" x14ac:dyDescent="0.3">
      <c r="C335" s="370">
        <v>10</v>
      </c>
      <c r="E335"/>
      <c r="F335"/>
      <c r="G335"/>
      <c r="H335"/>
      <c r="I335"/>
      <c r="J335"/>
      <c r="K335"/>
      <c r="L335"/>
      <c r="M335"/>
      <c r="N335" s="19"/>
      <c r="O335" s="347">
        <f>IF($C335&lt;=ROUNDUP('B. Implementation Plan'!P155,0),ROUND(IF(AND($C335-'B. Implementation Plan'!P155&lt;1,$C335-'B. Implementation Plan'!P155&gt;0),MOD('B. Implementation Plan'!P155,1)*F321*'B. Implementation Plan'!G142*(1-'B. Implementation Plan'!P147)^($C335-1),F321*'B. Implementation Plan'!G142*(1-'B. Implementation Plan'!P147)^($C335-1)),0),0)</f>
        <v>0</v>
      </c>
      <c r="P335" s="78" t="str">
        <f t="shared" si="301"/>
        <v/>
      </c>
    </row>
    <row r="336" spans="3:16" s="1" customFormat="1" x14ac:dyDescent="0.3">
      <c r="C336" s="376" t="s">
        <v>476</v>
      </c>
      <c r="E336"/>
      <c r="F336" s="371">
        <f t="shared" ref="F336:O336" ca="1" si="302">IF(F318&gt;0,SUM(F326:F335),0)</f>
        <v>0</v>
      </c>
      <c r="G336" s="371">
        <f t="shared" ca="1" si="302"/>
        <v>0</v>
      </c>
      <c r="H336" s="371">
        <f t="shared" ca="1" si="302"/>
        <v>0</v>
      </c>
      <c r="I336" s="371">
        <f t="shared" ca="1" si="302"/>
        <v>0</v>
      </c>
      <c r="J336" s="371">
        <f t="shared" ca="1" si="302"/>
        <v>0</v>
      </c>
      <c r="K336" s="371">
        <f t="shared" ca="1" si="302"/>
        <v>0</v>
      </c>
      <c r="L336" s="371">
        <f t="shared" ca="1" si="302"/>
        <v>0</v>
      </c>
      <c r="M336" s="371">
        <f t="shared" ca="1" si="302"/>
        <v>0</v>
      </c>
      <c r="N336" s="371">
        <f t="shared" ca="1" si="302"/>
        <v>0</v>
      </c>
      <c r="O336" s="371">
        <f t="shared" ca="1" si="302"/>
        <v>0</v>
      </c>
      <c r="P336" s="325">
        <f ca="1">SUM(E336:O336)</f>
        <v>0</v>
      </c>
    </row>
    <row r="337" spans="3:16" s="1" customFormat="1" x14ac:dyDescent="0.3">
      <c r="C337" s="353" t="s">
        <v>463</v>
      </c>
      <c r="E337"/>
      <c r="F337" s="324">
        <f ca="1">MIN(IFERROR(ROUNDUP(IF(F318&gt;0,INDEX(F326:F335,MATCH(9.99999999999999E+307,P326:P335))/IF(MOD('B. Implementation Plan'!P155,1)=0,1,MOD('B. Implementation Plan'!P155,1)),0),0),0),MAX(E326:E335))</f>
        <v>0</v>
      </c>
      <c r="G337" s="324">
        <f ca="1">MIN(IFERROR(ROUNDUP(IF(G318&gt;0,INDEX(G326:G335,MATCH(9.99999999999999E+307,P326:P335))/IF(MOD('B. Implementation Plan'!P155,1)=0,1,MOD('B. Implementation Plan'!P155,1)),0),0),0),MAX(E326:F335))</f>
        <v>0</v>
      </c>
      <c r="H337" s="324">
        <f ca="1">MIN(IFERROR(ROUNDUP(IF(H318&gt;0,INDEX(H326:H335,MATCH(9.99999999999999E+307,P326:P335))/IF(MOD('B. Implementation Plan'!P155,1)=0,1,MOD('B. Implementation Plan'!P155,1)),0),0),0),MAX(E326:G335))</f>
        <v>0</v>
      </c>
      <c r="I337" s="324">
        <f ca="1">MIN(IFERROR(ROUNDUP(IF(I318&gt;0,INDEX(I326:I335,MATCH(9.99999999999999E+307,P326:P335))/IF(MOD('B. Implementation Plan'!P155,1)=0,1,MOD('B. Implementation Plan'!P155,1)),0),0),0),MAX(E326:H335))</f>
        <v>0</v>
      </c>
      <c r="J337" s="324">
        <f ca="1">MIN(IFERROR(ROUNDUP(IF(J318&gt;0,INDEX(J326:J335,MATCH(9.99999999999999E+307,P326:P335))/IF(MOD('B. Implementation Plan'!P155,1)=0,1,MOD('B. Implementation Plan'!P155,1)),0),0),0),MAX(E326:I335))</f>
        <v>0</v>
      </c>
      <c r="K337" s="324">
        <f ca="1">MIN(IFERROR(ROUNDUP(IF(K318&gt;0,INDEX(K326:K335,MATCH(9.99999999999999E+307,P326:P335))/IF(MOD('B. Implementation Plan'!P155,1)=0,1,MOD('B. Implementation Plan'!P155,1)),0),0),0),MAX(E326:J335))</f>
        <v>0</v>
      </c>
      <c r="L337" s="324">
        <f ca="1">MIN(IFERROR(ROUNDUP(IF(L318&gt;0,INDEX(L326:L335,MATCH(9.99999999999999E+307,P326:P335))/IF(MOD('B. Implementation Plan'!P155,1)=0,1,MOD('B. Implementation Plan'!P155,1)),0),0),0),MAX(E326:K335))</f>
        <v>0</v>
      </c>
      <c r="M337" s="324">
        <f ca="1">MIN(IFERROR(ROUNDUP(IF(M318&gt;0,INDEX(M326:M335,MATCH(9.99999999999999E+307,P326:P335))/IF(MOD('B. Implementation Plan'!P155,1)=0,1,MOD('B. Implementation Plan'!P155,1)),0),0),0),MAX(E326:L335))</f>
        <v>0</v>
      </c>
      <c r="N337" s="324">
        <f ca="1">MIN(IFERROR(ROUNDUP(IF(N318&gt;0,INDEX(N326:N335,MATCH(9.99999999999999E+307,P326:P335))/IF(MOD('B. Implementation Plan'!P155,1)=0,1,MOD('B. Implementation Plan'!P155,1)),0),0),0),MAX(E326:M335))</f>
        <v>0</v>
      </c>
      <c r="O337" s="324">
        <f ca="1">MIN(IFERROR(ROUNDUP(IF(O318&gt;0,INDEX(O326:O335,MATCH(9.99999999999999E+307,P326:P335))/IF(MOD('B. Implementation Plan'!P155,1)=0,1,MOD('B. Implementation Plan'!P155,1)),0),0),0),MAX(E326:N335))</f>
        <v>0</v>
      </c>
      <c r="P337" s="325">
        <f ca="1">SUM(E337:O337)</f>
        <v>0</v>
      </c>
    </row>
    <row r="338" spans="3:16" s="365" customFormat="1" x14ac:dyDescent="0.3">
      <c r="C338" s="326" t="s">
        <v>462</v>
      </c>
      <c r="E338"/>
      <c r="F338" s="347">
        <f ca="1">ROUNDUP(IF(F318&gt;0,IF(SUM(E337:F337,E338:E338)*'B. Implementation Plan'!P147&gt;P337,0,-ROUND(SUM(E337:F337,E338:E338)*'B. Implementation Plan'!P147,0)),0),0)</f>
        <v>0</v>
      </c>
      <c r="G338" s="347">
        <f ca="1">ROUNDUP(IF(G318&gt;0,IF(SUM(E337:G337,E338:F338)*'B. Implementation Plan'!P147&gt;P337,0,-ROUND(SUM(E337:G337,E338:F338)*'B. Implementation Plan'!P147,0)),0),0)</f>
        <v>0</v>
      </c>
      <c r="H338" s="347">
        <f ca="1">ROUNDUP(IF(H318&gt;0,IF(SUM(E337:H337,E338:G338)*'B. Implementation Plan'!P147&gt;P337,0,-ROUND(SUM(E337:H337,E338:G338)*'B. Implementation Plan'!P147,0)),0),0)</f>
        <v>0</v>
      </c>
      <c r="I338" s="347">
        <f ca="1">ROUNDUP(IF(I318&gt;0,IF(SUM(E337:I337,E338:H338)*'B. Implementation Plan'!P147&gt;P337,0,-ROUND(SUM(E337:I337,E338:H338)*'B. Implementation Plan'!P147,0)),0),0)</f>
        <v>0</v>
      </c>
      <c r="J338" s="347">
        <f ca="1">ROUNDUP(IF(J318&gt;0,IF(SUM(E337:J337,E338:I338)*'B. Implementation Plan'!P147&gt;P337,0,-ROUND(SUM(E337:J337,E338:I338)*'B. Implementation Plan'!P147,0)),0),0)</f>
        <v>0</v>
      </c>
      <c r="K338" s="347">
        <f ca="1">ROUNDUP(IF(K318&gt;0,IF(SUM(E337:K337,E338:J338)*'B. Implementation Plan'!P147&gt;P337,0,-ROUND(SUM(E337:K337,E338:J338)*'B. Implementation Plan'!P147,0)),0),0)</f>
        <v>0</v>
      </c>
      <c r="L338" s="347">
        <f ca="1">ROUNDUP(IF(L318&gt;0,IF(SUM(E337:L337,E338:K338)*'B. Implementation Plan'!P147&gt;P337,0,-ROUND(SUM(E337:L337,E338:K338)*'B. Implementation Plan'!P147,0)),0),0)</f>
        <v>0</v>
      </c>
      <c r="M338" s="347">
        <f ca="1">ROUNDUP(IF(M318&gt;0,IF(SUM(E337:M337,E338:L338)*'B. Implementation Plan'!P147&gt;P337,0,-ROUND(SUM(E337:M337,E338:L338)*'B. Implementation Plan'!P147,0)),0),0)</f>
        <v>0</v>
      </c>
      <c r="N338" s="347">
        <f ca="1">ROUNDUP(IF(N318&gt;0,IF(SUM(E337:N337,E338:M338)*'B. Implementation Plan'!P147&gt;P337,0,-ROUND(SUM(E337:N337,E338:M338)*'B. Implementation Plan'!P147,0)),0),0)</f>
        <v>0</v>
      </c>
      <c r="O338" s="347">
        <f ca="1">ROUNDUP(IF(O318&gt;0,IF(SUM(E337:O337,E338:N338)*'B. Implementation Plan'!P147&gt;P337,0,-ROUND(SUM(E337:O337,E338:N338)*'B. Implementation Plan'!P147,0)),0),0)</f>
        <v>0</v>
      </c>
      <c r="P338" s="354">
        <f ca="1">SUM(E338:O338)</f>
        <v>0</v>
      </c>
    </row>
    <row r="339" spans="3:16" s="365" customFormat="1" ht="15" thickBot="1" x14ac:dyDescent="0.35">
      <c r="C339" s="326" t="s">
        <v>464</v>
      </c>
      <c r="E339"/>
      <c r="F339" s="347">
        <f ca="1">IF(F318&gt;0,SUM(E337:F338),0)</f>
        <v>0</v>
      </c>
      <c r="G339" s="347">
        <f ca="1">IF(G318&gt;0,SUM(E337:G338),0)</f>
        <v>0</v>
      </c>
      <c r="H339" s="347">
        <f ca="1">IF(H318&gt;0,SUM(E337:H338),0)</f>
        <v>0</v>
      </c>
      <c r="I339" s="347">
        <f ca="1">IF(I318&gt;0,SUM(E337:I338),0)</f>
        <v>0</v>
      </c>
      <c r="J339" s="347">
        <f ca="1">IF(J318&gt;0,SUM(E337:J338),0)</f>
        <v>0</v>
      </c>
      <c r="K339" s="347">
        <f ca="1">IF(K318&gt;0,SUM(E337:K338),0)</f>
        <v>0</v>
      </c>
      <c r="L339" s="347">
        <f ca="1">IF(L318&gt;0,SUM(E337:L338),0)</f>
        <v>0</v>
      </c>
      <c r="M339" s="347">
        <f ca="1">IF(M318&gt;0,SUM(E337:M338),0)</f>
        <v>0</v>
      </c>
      <c r="N339" s="347">
        <f ca="1">IF(N318&gt;0,SUM(E337:N338),0)</f>
        <v>0</v>
      </c>
      <c r="O339" s="369">
        <f ca="1">IF(O318&gt;0,SUM(E337:O338),0)</f>
        <v>0</v>
      </c>
      <c r="P339" s="375">
        <f t="shared" ref="P339" ca="1" si="303">IF(O339=0,IF(N339=0,IF(M339=0,IF(L339=0,IF(K339=0,IF(J339=0,IF(I339=0,IF(H339=0,IF(G339=0,IF(F339=0,E339,F339),G339),H339),I339),J339),K339),L339),M339),N339),O339)</f>
        <v>0</v>
      </c>
    </row>
    <row r="340" spans="3:16" ht="15" thickBot="1" x14ac:dyDescent="0.35">
      <c r="C340" s="59" t="s">
        <v>465</v>
      </c>
    </row>
    <row r="341" spans="3:16" ht="15.6" x14ac:dyDescent="0.3">
      <c r="C341" s="326" t="s">
        <v>481</v>
      </c>
      <c r="F341" s="149">
        <v>1</v>
      </c>
      <c r="G341" s="149">
        <v>2</v>
      </c>
      <c r="H341" s="149">
        <v>3</v>
      </c>
      <c r="I341" s="149">
        <v>4</v>
      </c>
      <c r="J341" s="149">
        <v>5</v>
      </c>
      <c r="K341" s="149">
        <v>6</v>
      </c>
      <c r="L341" s="149">
        <v>7</v>
      </c>
      <c r="M341" s="149">
        <v>8</v>
      </c>
      <c r="N341" s="149">
        <v>9</v>
      </c>
      <c r="O341" s="374">
        <v>10</v>
      </c>
      <c r="P341" s="351" t="s">
        <v>2</v>
      </c>
    </row>
    <row r="342" spans="3:16" s="365" customFormat="1" x14ac:dyDescent="0.3">
      <c r="C342" s="370">
        <v>1</v>
      </c>
      <c r="E342"/>
      <c r="F342" s="347">
        <f>IF($C342&lt;=ROUNDUP('B. Implementation Plan'!P156,0),ROUND(IF(AND($C342-'B. Implementation Plan'!P156&lt;1,$C342-'B. Implementation Plan'!P156&gt;0),MOD('B. Implementation Plan'!P156,1)*F321*'B. Implementation Plan'!G144*(1-'B. Implementation Plan'!P147)^($C342-1),F321*'B. Implementation Plan'!G144*(1-'B. Implementation Plan'!P147)^($C342-1)),0),0)</f>
        <v>0</v>
      </c>
      <c r="G342" s="347">
        <f>IF($C342&lt;=ROUNDUP('B. Implementation Plan'!P156,0),ROUND(IF(AND($C342-'B. Implementation Plan'!P156&lt;1,$C342-'B. Implementation Plan'!P156&gt;0),MOD('B. Implementation Plan'!P156,1)*G321*'B. Implementation Plan'!G144*(1-'B. Implementation Plan'!P147)^($C342-1),G321*'B. Implementation Plan'!G144*(1-'B. Implementation Plan'!P147)^($C342-1)),0),0)</f>
        <v>0</v>
      </c>
      <c r="H342" s="347">
        <f>IF($C342&lt;=ROUNDUP('B. Implementation Plan'!P156,0),ROUND(IF(AND($C342-'B. Implementation Plan'!P156&lt;1,$C342-'B. Implementation Plan'!P156&gt;0),MOD('B. Implementation Plan'!P156,1)*H321*'B. Implementation Plan'!G144*(1-'B. Implementation Plan'!P147)^($C342-1),H321*'B. Implementation Plan'!G144*(1-'B. Implementation Plan'!P147)^($C342-1)),0),0)</f>
        <v>0</v>
      </c>
      <c r="I342" s="347">
        <f>IF($C342&lt;=ROUNDUP('B. Implementation Plan'!P156,0),ROUND(IF(AND($C342-'B. Implementation Plan'!P156&lt;1,$C342-'B. Implementation Plan'!P156&gt;0),MOD('B. Implementation Plan'!P156,1)*I321*'B. Implementation Plan'!G144*(1-'B. Implementation Plan'!P147)^($C342-1),I321*'B. Implementation Plan'!G144*(1-'B. Implementation Plan'!P147)^($C342-1)),0),0)</f>
        <v>0</v>
      </c>
      <c r="J342" s="347">
        <f>IF($C342&lt;=ROUNDUP('B. Implementation Plan'!P156,0),ROUND(IF(AND($C342-'B. Implementation Plan'!P156&lt;1,$C342-'B. Implementation Plan'!P156&gt;0),MOD('B. Implementation Plan'!P156,1)*J321*'B. Implementation Plan'!G144*(1-'B. Implementation Plan'!P147)^($C342-1),J321*'B. Implementation Plan'!G144*(1-'B. Implementation Plan'!P147)^($C342-1)),0),0)</f>
        <v>0</v>
      </c>
      <c r="K342" s="347">
        <f>IF($C342&lt;=ROUNDUP('B. Implementation Plan'!P156,0),ROUND(IF(AND($C342-'B. Implementation Plan'!P156&lt;1,$C342-'B. Implementation Plan'!P156&gt;0),MOD('B. Implementation Plan'!P156,1)*K321*'B. Implementation Plan'!G144*(1-'B. Implementation Plan'!P147)^($C342-1),K321*'B. Implementation Plan'!G144*(1-'B. Implementation Plan'!P147)^($C342-1)),0),0)</f>
        <v>0</v>
      </c>
      <c r="L342" s="347">
        <f>IF($C342&lt;=ROUNDUP('B. Implementation Plan'!P156,0),ROUND(IF(AND($C342-'B. Implementation Plan'!P156&lt;1,$C342-'B. Implementation Plan'!P156&gt;0),MOD('B. Implementation Plan'!P156,1)*L321*'B. Implementation Plan'!G144*(1-'B. Implementation Plan'!P147)^($C342-1),L321*'B. Implementation Plan'!G144*(1-'B. Implementation Plan'!P147)^($C342-1)),0),0)</f>
        <v>0</v>
      </c>
      <c r="M342" s="347">
        <f>IF($C342&lt;=ROUNDUP('B. Implementation Plan'!P156,0),ROUND(IF(AND($C342-'B. Implementation Plan'!P156&lt;1,$C342-'B. Implementation Plan'!P156&gt;0),MOD('B. Implementation Plan'!P156,1)*M321*'B. Implementation Plan'!G144*(1-'B. Implementation Plan'!P147)^($C342-1),M321*'B. Implementation Plan'!G144*(1-'B. Implementation Plan'!P147)^($C342-1)),0),0)</f>
        <v>0</v>
      </c>
      <c r="N342" s="347">
        <f>IF($C342&lt;=ROUNDUP('B. Implementation Plan'!P156,0),ROUND(IF(AND($C342-'B. Implementation Plan'!P156&lt;1,$C342-'B. Implementation Plan'!P156&gt;0),MOD('B. Implementation Plan'!P156,1)*N321*'B. Implementation Plan'!G144*(1-'B. Implementation Plan'!P147)^($C342-1),N321*'B. Implementation Plan'!G144*(1-'B. Implementation Plan'!P147)^($C342-1)),0),0)</f>
        <v>0</v>
      </c>
      <c r="O342" s="347">
        <f>IF($C342&lt;=ROUNDUP('B. Implementation Plan'!P156,0),ROUND(IF(AND($C342-'B. Implementation Plan'!P156&lt;1,$C342-'B. Implementation Plan'!P156&gt;0),MOD('B. Implementation Plan'!P156,1)*O321*'B. Implementation Plan'!G144*(1-'B. Implementation Plan'!P147)^($C342-1),O321*'B. Implementation Plan'!G144*(1-'B. Implementation Plan'!P147)^($C342-1)),0),0)</f>
        <v>0</v>
      </c>
      <c r="P342" s="78" t="str">
        <f>IF(SUM(F342:O342)&gt;0,SUM(F342:O342),"")</f>
        <v/>
      </c>
    </row>
    <row r="343" spans="3:16" s="365" customFormat="1" x14ac:dyDescent="0.3">
      <c r="C343" s="370">
        <v>2</v>
      </c>
      <c r="E343"/>
      <c r="F343"/>
      <c r="G343" s="347">
        <f>IF($C343&lt;=ROUNDUP('B. Implementation Plan'!P156,0),ROUND(IF(AND($C343-'B. Implementation Plan'!P156&lt;1,$C343-'B. Implementation Plan'!P156&gt;0),MOD('B. Implementation Plan'!P156,1)*F321*'B. Implementation Plan'!G144*(1-'B. Implementation Plan'!P147)^($C343-1),F321*'B. Implementation Plan'!G144*(1-'B. Implementation Plan'!P147)^($C343-1)),0),0)</f>
        <v>0</v>
      </c>
      <c r="H343" s="347">
        <f>IF($C343&lt;=ROUNDUP('B. Implementation Plan'!P156,0),ROUND(IF(AND($C343-'B. Implementation Plan'!P156&lt;1,$C343-'B. Implementation Plan'!P156&gt;0),MOD('B. Implementation Plan'!P156,1)*G321*'B. Implementation Plan'!G144*(1-'B. Implementation Plan'!P147)^($C343-1),G321*'B. Implementation Plan'!G144*(1-'B. Implementation Plan'!P147)^($C343-1)),0),0)</f>
        <v>0</v>
      </c>
      <c r="I343" s="347">
        <f>IF($C343&lt;=ROUNDUP('B. Implementation Plan'!P156,0),ROUND(IF(AND($C343-'B. Implementation Plan'!P156&lt;1,$C343-'B. Implementation Plan'!P156&gt;0),MOD('B. Implementation Plan'!P156,1)*H321*'B. Implementation Plan'!G144*(1-'B. Implementation Plan'!P147)^($C343-1),H321*'B. Implementation Plan'!G144*(1-'B. Implementation Plan'!P147)^($C343-1)),0),0)</f>
        <v>0</v>
      </c>
      <c r="J343" s="347">
        <f>IF($C343&lt;=ROUNDUP('B. Implementation Plan'!P156,0),ROUND(IF(AND($C343-'B. Implementation Plan'!P156&lt;1,$C343-'B. Implementation Plan'!P156&gt;0),MOD('B. Implementation Plan'!P156,1)*I321*'B. Implementation Plan'!G144*(1-'B. Implementation Plan'!P147)^($C343-1),I321*'B. Implementation Plan'!G144*(1-'B. Implementation Plan'!P147)^($C343-1)),0),0)</f>
        <v>0</v>
      </c>
      <c r="K343" s="347">
        <f>IF($C343&lt;=ROUNDUP('B. Implementation Plan'!P156,0),ROUND(IF(AND($C343-'B. Implementation Plan'!P156&lt;1,$C343-'B. Implementation Plan'!P156&gt;0),MOD('B. Implementation Plan'!P156,1)*J321*'B. Implementation Plan'!G144*(1-'B. Implementation Plan'!P147)^($C343-1),J321*'B. Implementation Plan'!G144*(1-'B. Implementation Plan'!P147)^($C343-1)),0),0)</f>
        <v>0</v>
      </c>
      <c r="L343" s="347">
        <f>IF($C343&lt;=ROUNDUP('B. Implementation Plan'!P156,0),ROUND(IF(AND($C343-'B. Implementation Plan'!P156&lt;1,$C343-'B. Implementation Plan'!P156&gt;0),MOD('B. Implementation Plan'!P156,1)*K321*'B. Implementation Plan'!G144*(1-'B. Implementation Plan'!P147)^($C343-1),K321*'B. Implementation Plan'!G144*(1-'B. Implementation Plan'!P147)^($C343-1)),0),0)</f>
        <v>0</v>
      </c>
      <c r="M343" s="347">
        <f>IF($C343&lt;=ROUNDUP('B. Implementation Plan'!P156,0),ROUND(IF(AND($C343-'B. Implementation Plan'!P156&lt;1,$C343-'B. Implementation Plan'!P156&gt;0),MOD('B. Implementation Plan'!P156,1)*L321*'B. Implementation Plan'!G144*(1-'B. Implementation Plan'!P147)^($C343-1),L321*'B. Implementation Plan'!G144*(1-'B. Implementation Plan'!P147)^($C343-1)),0),0)</f>
        <v>0</v>
      </c>
      <c r="N343" s="347">
        <f>IF($C343&lt;=ROUNDUP('B. Implementation Plan'!P156,0),ROUND(IF(AND($C343-'B. Implementation Plan'!P156&lt;1,$C343-'B. Implementation Plan'!P156&gt;0),MOD('B. Implementation Plan'!P156,1)*M321*'B. Implementation Plan'!G144*(1-'B. Implementation Plan'!P147)^($C343-1),M321*'B. Implementation Plan'!G144*(1-'B. Implementation Plan'!P147)^($C343-1)),0),0)</f>
        <v>0</v>
      </c>
      <c r="O343" s="347">
        <f>IF($C343&lt;=ROUNDUP('B. Implementation Plan'!P156,0),ROUND(IF(AND($C343-'B. Implementation Plan'!P156&lt;1,$C343-'B. Implementation Plan'!P156&gt;0),MOD('B. Implementation Plan'!P156,1)*N321*'B. Implementation Plan'!G144*(1-'B. Implementation Plan'!P147)^($C343-1),N321*'B. Implementation Plan'!G144*(1-'B. Implementation Plan'!P147)^($C343-1)),0),0)</f>
        <v>0</v>
      </c>
      <c r="P343" s="78" t="str">
        <f t="shared" ref="P343:P351" si="304">IF(SUM(F343:O343)&gt;0,SUM(F343:O343),"")</f>
        <v/>
      </c>
    </row>
    <row r="344" spans="3:16" s="365" customFormat="1" x14ac:dyDescent="0.3">
      <c r="C344" s="370">
        <v>3</v>
      </c>
      <c r="E344"/>
      <c r="F344"/>
      <c r="G344"/>
      <c r="H344" s="347">
        <f>IF($C344&lt;=ROUNDUP('B. Implementation Plan'!P156,0),ROUND(IF(AND($C344-'B. Implementation Plan'!P156&lt;1,$C344-'B. Implementation Plan'!P156&gt;0),MOD('B. Implementation Plan'!P156,1)*F321*'B. Implementation Plan'!G144*(1-'B. Implementation Plan'!P147)^($C344-1),F321*'B. Implementation Plan'!G144*(1-'B. Implementation Plan'!P147)^($C344-1)),0),0)</f>
        <v>0</v>
      </c>
      <c r="I344" s="347">
        <f>IF($C344&lt;=ROUNDUP('B. Implementation Plan'!P156,0),ROUND(IF(AND($C344-'B. Implementation Plan'!P156&lt;1,$C344-'B. Implementation Plan'!P156&gt;0),MOD('B. Implementation Plan'!P156,1)*G321*'B. Implementation Plan'!G144*(1-'B. Implementation Plan'!P147)^($C344-1),G321*'B. Implementation Plan'!G144*(1-'B. Implementation Plan'!P147)^($C344-1)),0),0)</f>
        <v>0</v>
      </c>
      <c r="J344" s="347">
        <f>IF($C344&lt;=ROUNDUP('B. Implementation Plan'!P156,0),ROUND(IF(AND($C344-'B. Implementation Plan'!P156&lt;1,$C344-'B. Implementation Plan'!P156&gt;0),MOD('B. Implementation Plan'!P156,1)*H321*'B. Implementation Plan'!G144*(1-'B. Implementation Plan'!P147)^($C344-1),H321*'B. Implementation Plan'!G144*(1-'B. Implementation Plan'!P147)^($C344-1)),0),0)</f>
        <v>0</v>
      </c>
      <c r="K344" s="347">
        <f>IF($C344&lt;=ROUNDUP('B. Implementation Plan'!P156,0),ROUND(IF(AND($C344-'B. Implementation Plan'!P156&lt;1,$C344-'B. Implementation Plan'!P156&gt;0),MOD('B. Implementation Plan'!P156,1)*I321*'B. Implementation Plan'!G144*(1-'B. Implementation Plan'!P147)^($C344-1),I321*'B. Implementation Plan'!G144*(1-'B. Implementation Plan'!P147)^($C344-1)),0),0)</f>
        <v>0</v>
      </c>
      <c r="L344" s="347">
        <f>IF($C344&lt;=ROUNDUP('B. Implementation Plan'!P156,0),ROUND(IF(AND($C344-'B. Implementation Plan'!P156&lt;1,$C344-'B. Implementation Plan'!P156&gt;0),MOD('B. Implementation Plan'!P156,1)*J321*'B. Implementation Plan'!G144*(1-'B. Implementation Plan'!P147)^($C344-1),J321*'B. Implementation Plan'!G144*(1-'B. Implementation Plan'!P147)^($C344-1)),0),0)</f>
        <v>0</v>
      </c>
      <c r="M344" s="347">
        <f>IF($C344&lt;=ROUNDUP('B. Implementation Plan'!P156,0),ROUND(IF(AND($C344-'B. Implementation Plan'!P156&lt;1,$C344-'B. Implementation Plan'!P156&gt;0),MOD('B. Implementation Plan'!P156,1)*K321*'B. Implementation Plan'!G144*(1-'B. Implementation Plan'!P147)^($C344-1),K321*'B. Implementation Plan'!G144*(1-'B. Implementation Plan'!P147)^($C344-1)),0),0)</f>
        <v>0</v>
      </c>
      <c r="N344" s="347">
        <f>IF($C344&lt;=ROUNDUP('B. Implementation Plan'!P156,0),ROUND(IF(AND($C344-'B. Implementation Plan'!P156&lt;1,$C344-'B. Implementation Plan'!P156&gt;0),MOD('B. Implementation Plan'!P156,1)*L321*'B. Implementation Plan'!G144*(1-'B. Implementation Plan'!P147)^($C344-1),L321*'B. Implementation Plan'!G144*(1-'B. Implementation Plan'!P147)^($C344-1)),0),0)</f>
        <v>0</v>
      </c>
      <c r="O344" s="347">
        <f>IF($C344&lt;=ROUNDUP('B. Implementation Plan'!P156,0),ROUND(IF(AND($C344-'B. Implementation Plan'!P156&lt;1,$C344-'B. Implementation Plan'!P156&gt;0),MOD('B. Implementation Plan'!P156,1)*M321*'B. Implementation Plan'!G144*(1-'B. Implementation Plan'!P147)^($C344-1),M321*'B. Implementation Plan'!G144*(1-'B. Implementation Plan'!P147)^($C344-1)),0),0)</f>
        <v>0</v>
      </c>
      <c r="P344" s="78" t="str">
        <f t="shared" si="304"/>
        <v/>
      </c>
    </row>
    <row r="345" spans="3:16" s="365" customFormat="1" x14ac:dyDescent="0.3">
      <c r="C345" s="370">
        <v>4</v>
      </c>
      <c r="E345"/>
      <c r="F345"/>
      <c r="G345"/>
      <c r="H345"/>
      <c r="I345" s="347">
        <f>IF($C345&lt;=ROUNDUP('B. Implementation Plan'!P156,0),ROUND(IF(AND($C345-'B. Implementation Plan'!P156&lt;1,$C345-'B. Implementation Plan'!P156&gt;0),MOD('B. Implementation Plan'!P156,1)*F321*'B. Implementation Plan'!G144*(1-'B. Implementation Plan'!P147)^($C345-1),F321*'B. Implementation Plan'!G144*(1-'B. Implementation Plan'!P147)^($C345-1)),0),0)</f>
        <v>0</v>
      </c>
      <c r="J345" s="347">
        <f>IF($C345&lt;=ROUNDUP('B. Implementation Plan'!P156,0),ROUND(IF(AND($C345-'B. Implementation Plan'!P156&lt;1,$C345-'B. Implementation Plan'!P156&gt;0),MOD('B. Implementation Plan'!P156,1)*G321*'B. Implementation Plan'!G144*(1-'B. Implementation Plan'!P147)^($C345-1),G321*'B. Implementation Plan'!G144*(1-'B. Implementation Plan'!P147)^($C345-1)),0),0)</f>
        <v>0</v>
      </c>
      <c r="K345" s="347">
        <f>IF($C345&lt;=ROUNDUP('B. Implementation Plan'!P156,0),ROUND(IF(AND($C345-'B. Implementation Plan'!P156&lt;1,$C345-'B. Implementation Plan'!P156&gt;0),MOD('B. Implementation Plan'!P156,1)*H321*'B. Implementation Plan'!G144*(1-'B. Implementation Plan'!P147)^($C345-1),H321*'B. Implementation Plan'!G144*(1-'B. Implementation Plan'!P147)^($C345-1)),0),0)</f>
        <v>0</v>
      </c>
      <c r="L345" s="347">
        <f>IF($C345&lt;=ROUNDUP('B. Implementation Plan'!P156,0),ROUND(IF(AND($C345-'B. Implementation Plan'!P156&lt;1,$C345-'B. Implementation Plan'!P156&gt;0),MOD('B. Implementation Plan'!P156,1)*I321*'B. Implementation Plan'!G144*(1-'B. Implementation Plan'!P147)^($C345-1),I321*'B. Implementation Plan'!G144*(1-'B. Implementation Plan'!P147)^($C345-1)),0),0)</f>
        <v>0</v>
      </c>
      <c r="M345" s="347">
        <f>IF($C345&lt;=ROUNDUP('B. Implementation Plan'!P156,0),ROUND(IF(AND($C345-'B. Implementation Plan'!P156&lt;1,$C345-'B. Implementation Plan'!P156&gt;0),MOD('B. Implementation Plan'!P156,1)*J321*'B. Implementation Plan'!G144*(1-'B. Implementation Plan'!P147)^($C345-1),J321*'B. Implementation Plan'!G144*(1-'B. Implementation Plan'!P147)^($C345-1)),0),0)</f>
        <v>0</v>
      </c>
      <c r="N345" s="347">
        <f>IF($C345&lt;=ROUNDUP('B. Implementation Plan'!P156,0),ROUND(IF(AND($C345-'B. Implementation Plan'!P156&lt;1,$C345-'B. Implementation Plan'!P156&gt;0),MOD('B. Implementation Plan'!P156,1)*K321*'B. Implementation Plan'!G144*(1-'B. Implementation Plan'!P147)^($C345-1),K321*'B. Implementation Plan'!G144*(1-'B. Implementation Plan'!P147)^($C345-1)),0),0)</f>
        <v>0</v>
      </c>
      <c r="O345" s="347">
        <f>IF($C345&lt;=ROUNDUP('B. Implementation Plan'!P156,0),ROUND(IF(AND($C345-'B. Implementation Plan'!P156&lt;1,$C345-'B. Implementation Plan'!P156&gt;0),MOD('B. Implementation Plan'!P156,1)*L321*'B. Implementation Plan'!G144*(1-'B. Implementation Plan'!P147)^($C345-1),L321*'B. Implementation Plan'!G144*(1-'B. Implementation Plan'!P147)^($C345-1)),0),0)</f>
        <v>0</v>
      </c>
      <c r="P345" s="78" t="str">
        <f t="shared" si="304"/>
        <v/>
      </c>
    </row>
    <row r="346" spans="3:16" s="365" customFormat="1" x14ac:dyDescent="0.3">
      <c r="C346" s="370">
        <v>5</v>
      </c>
      <c r="E346"/>
      <c r="F346"/>
      <c r="G346"/>
      <c r="H346"/>
      <c r="I346"/>
      <c r="J346" s="347">
        <f>IF($C346&lt;=ROUNDUP('B. Implementation Plan'!P156,0),ROUND(IF(AND($C346-'B. Implementation Plan'!P156&lt;1,$C346-'B. Implementation Plan'!P156&gt;0),MOD('B. Implementation Plan'!P156,1)*F321*'B. Implementation Plan'!G144*(1-'B. Implementation Plan'!P147)^($C346-1),F321*'B. Implementation Plan'!G144*(1-'B. Implementation Plan'!P147)^($C346-1)),0),0)</f>
        <v>0</v>
      </c>
      <c r="K346" s="347">
        <f>IF($C346&lt;=ROUNDUP('B. Implementation Plan'!P156,0),ROUND(IF(AND($C346-'B. Implementation Plan'!P156&lt;1,$C346-'B. Implementation Plan'!P156&gt;0),MOD('B. Implementation Plan'!P156,1)*G321*'B. Implementation Plan'!G144*(1-'B. Implementation Plan'!P147)^($C346-1),G321*'B. Implementation Plan'!G144*(1-'B. Implementation Plan'!P147)^($C346-1)),0),0)</f>
        <v>0</v>
      </c>
      <c r="L346" s="347">
        <f>IF($C346&lt;=ROUNDUP('B. Implementation Plan'!P156,0),ROUND(IF(AND($C346-'B. Implementation Plan'!P156&lt;1,$C346-'B. Implementation Plan'!P156&gt;0),MOD('B. Implementation Plan'!P156,1)*H321*'B. Implementation Plan'!G144*(1-'B. Implementation Plan'!P147)^($C346-1),H321*'B. Implementation Plan'!G144*(1-'B. Implementation Plan'!P147)^($C346-1)),0),0)</f>
        <v>0</v>
      </c>
      <c r="M346" s="347">
        <f>IF($C346&lt;=ROUNDUP('B. Implementation Plan'!P156,0),ROUND(IF(AND($C346-'B. Implementation Plan'!P156&lt;1,$C346-'B. Implementation Plan'!P156&gt;0),MOD('B. Implementation Plan'!P156,1)*I321*'B. Implementation Plan'!G144*(1-'B. Implementation Plan'!P147)^($C346-1),I321*'B. Implementation Plan'!G144*(1-'B. Implementation Plan'!P147)^($C346-1)),0),0)</f>
        <v>0</v>
      </c>
      <c r="N346" s="347">
        <f>IF($C346&lt;=ROUNDUP('B. Implementation Plan'!P156,0),ROUND(IF(AND($C346-'B. Implementation Plan'!P156&lt;1,$C346-'B. Implementation Plan'!P156&gt;0),MOD('B. Implementation Plan'!P156,1)*J321*'B. Implementation Plan'!G144*(1-'B. Implementation Plan'!P147)^($C346-1),J321*'B. Implementation Plan'!G144*(1-'B. Implementation Plan'!P147)^($C346-1)),0),0)</f>
        <v>0</v>
      </c>
      <c r="O346" s="347">
        <f>IF($C346&lt;=ROUNDUP('B. Implementation Plan'!P156,0),ROUND(IF(AND($C346-'B. Implementation Plan'!P156&lt;1,$C346-'B. Implementation Plan'!P156&gt;0),MOD('B. Implementation Plan'!P156,1)*K321*'B. Implementation Plan'!G144*(1-'B. Implementation Plan'!P147)^($C346-1),K321*'B. Implementation Plan'!G144*(1-'B. Implementation Plan'!P147)^($C346-1)),0),0)</f>
        <v>0</v>
      </c>
      <c r="P346" s="78" t="str">
        <f t="shared" si="304"/>
        <v/>
      </c>
    </row>
    <row r="347" spans="3:16" s="365" customFormat="1" x14ac:dyDescent="0.3">
      <c r="C347" s="370">
        <v>6</v>
      </c>
      <c r="E347"/>
      <c r="F347"/>
      <c r="G347"/>
      <c r="H347"/>
      <c r="I347"/>
      <c r="J347"/>
      <c r="K347" s="347">
        <f>IF($C347&lt;=ROUNDUP('B. Implementation Plan'!P156,0),ROUND(IF(AND($C347-'B. Implementation Plan'!P156&lt;1,$C347-'B. Implementation Plan'!P156&gt;0),MOD('B. Implementation Plan'!P156,1)*F321*'B. Implementation Plan'!G144*(1-'B. Implementation Plan'!P147)^($C347-1),F321*'B. Implementation Plan'!G144*(1-'B. Implementation Plan'!P147)^($C347-1)),0),0)</f>
        <v>0</v>
      </c>
      <c r="L347" s="347">
        <f>IF($C347&lt;=ROUNDUP('B. Implementation Plan'!P156,0),ROUND(IF(AND($C347-'B. Implementation Plan'!P156&lt;1,$C347-'B. Implementation Plan'!P156&gt;0),MOD('B. Implementation Plan'!P156,1)*G321*'B. Implementation Plan'!G144*(1-'B. Implementation Plan'!P147)^($C347-1),G321*'B. Implementation Plan'!G144*(1-'B. Implementation Plan'!P147)^($C347-1)),0),0)</f>
        <v>0</v>
      </c>
      <c r="M347" s="347">
        <f>IF($C347&lt;=ROUNDUP('B. Implementation Plan'!P156,0),ROUND(IF(AND($C347-'B. Implementation Plan'!P156&lt;1,$C347-'B. Implementation Plan'!P156&gt;0),MOD('B. Implementation Plan'!P156,1)*H321*'B. Implementation Plan'!G144*(1-'B. Implementation Plan'!P147)^($C347-1),H321*'B. Implementation Plan'!G144*(1-'B. Implementation Plan'!P147)^($C347-1)),0),0)</f>
        <v>0</v>
      </c>
      <c r="N347" s="347">
        <f>IF($C347&lt;=ROUNDUP('B. Implementation Plan'!P156,0),ROUND(IF(AND($C347-'B. Implementation Plan'!P156&lt;1,$C347-'B. Implementation Plan'!P156&gt;0),MOD('B. Implementation Plan'!P156,1)*I321*'B. Implementation Plan'!G144*(1-'B. Implementation Plan'!P147)^($C347-1),I321*'B. Implementation Plan'!G144*(1-'B. Implementation Plan'!P147)^($C347-1)),0),0)</f>
        <v>0</v>
      </c>
      <c r="O347" s="347">
        <f>IF($C347&lt;=ROUNDUP('B. Implementation Plan'!P156,0),ROUND(IF(AND($C347-'B. Implementation Plan'!P156&lt;1,$C347-'B. Implementation Plan'!P156&gt;0),MOD('B. Implementation Plan'!P156,1)*J321*'B. Implementation Plan'!G144*(1-'B. Implementation Plan'!P147)^($C347-1),J321*'B. Implementation Plan'!G144*(1-'B. Implementation Plan'!P147)^($C347-1)),0),0)</f>
        <v>0</v>
      </c>
      <c r="P347" s="78" t="str">
        <f t="shared" si="304"/>
        <v/>
      </c>
    </row>
    <row r="348" spans="3:16" s="365" customFormat="1" x14ac:dyDescent="0.3">
      <c r="C348" s="370">
        <v>7</v>
      </c>
      <c r="E348"/>
      <c r="F348"/>
      <c r="G348"/>
      <c r="H348"/>
      <c r="I348"/>
      <c r="J348"/>
      <c r="K348"/>
      <c r="L348" s="347">
        <f>IF($C348&lt;=ROUNDUP('B. Implementation Plan'!P156,0),ROUND(IF(AND($C348-'B. Implementation Plan'!P156&lt;1,$C348-'B. Implementation Plan'!P156&gt;0),MOD('B. Implementation Plan'!P156,1)*F321*'B. Implementation Plan'!G144*(1-'B. Implementation Plan'!P147)^($C348-1),F321*'B. Implementation Plan'!G144*(1-'B. Implementation Plan'!P147)^($C348-1)),0),0)</f>
        <v>0</v>
      </c>
      <c r="M348" s="347">
        <f>IF($C348&lt;=ROUNDUP('B. Implementation Plan'!P156,0),ROUND(IF(AND($C348-'B. Implementation Plan'!P156&lt;1,$C348-'B. Implementation Plan'!P156&gt;0),MOD('B. Implementation Plan'!P156,1)*G321*'B. Implementation Plan'!G144*(1-'B. Implementation Plan'!P147)^($C348-1),G321*'B. Implementation Plan'!G144*(1-'B. Implementation Plan'!P147)^($C348-1)),0),0)</f>
        <v>0</v>
      </c>
      <c r="N348" s="347">
        <f>IF($C348&lt;=ROUNDUP('B. Implementation Plan'!P156,0),ROUND(IF(AND($C348-'B. Implementation Plan'!P156&lt;1,$C348-'B. Implementation Plan'!P156&gt;0),MOD('B. Implementation Plan'!P156,1)*H321*'B. Implementation Plan'!G144*(1-'B. Implementation Plan'!P147)^($C348-1),H321*'B. Implementation Plan'!G144*(1-'B. Implementation Plan'!P147)^($C348-1)),0),0)</f>
        <v>0</v>
      </c>
      <c r="O348" s="347">
        <f>IF($C348&lt;=ROUNDUP('B. Implementation Plan'!P156,0),ROUND(IF(AND($C348-'B. Implementation Plan'!P156&lt;1,$C348-'B. Implementation Plan'!P156&gt;0),MOD('B. Implementation Plan'!P156,1)*I321*'B. Implementation Plan'!G144*(1-'B. Implementation Plan'!P147)^($C348-1),I321*'B. Implementation Plan'!G144*(1-'B. Implementation Plan'!P147)^($C348-1)),0),0)</f>
        <v>0</v>
      </c>
      <c r="P348" s="78" t="str">
        <f t="shared" si="304"/>
        <v/>
      </c>
    </row>
    <row r="349" spans="3:16" s="365" customFormat="1" x14ac:dyDescent="0.3">
      <c r="C349" s="370">
        <v>8</v>
      </c>
      <c r="E349"/>
      <c r="F349"/>
      <c r="G349"/>
      <c r="H349"/>
      <c r="I349"/>
      <c r="J349"/>
      <c r="K349"/>
      <c r="L349"/>
      <c r="M349" s="347">
        <f>IF($C349&lt;=ROUNDUP('B. Implementation Plan'!P156,0),ROUND(IF(AND($C349-'B. Implementation Plan'!P156&lt;1,$C349-'B. Implementation Plan'!P156&gt;0),MOD('B. Implementation Plan'!P156,1)*F321*'B. Implementation Plan'!G144*(1-'B. Implementation Plan'!P147)^($C349-1),F321*'B. Implementation Plan'!G144*(1-'B. Implementation Plan'!P147)^($C349-1)),0),0)</f>
        <v>0</v>
      </c>
      <c r="N349" s="347">
        <f>IF($C349&lt;=ROUNDUP('B. Implementation Plan'!P156,0),ROUND(IF(AND($C349-'B. Implementation Plan'!P156&lt;1,$C349-'B. Implementation Plan'!P156&gt;0),MOD('B. Implementation Plan'!P156,1)*G321*'B. Implementation Plan'!G144*(1-'B. Implementation Plan'!P147)^($C349-1),G321*'B. Implementation Plan'!G144*(1-'B. Implementation Plan'!P147)^($C349-1)),0),0)</f>
        <v>0</v>
      </c>
      <c r="O349" s="347">
        <f>IF($C349&lt;=ROUNDUP('B. Implementation Plan'!P156,0),ROUND(IF(AND($C349-'B. Implementation Plan'!P156&lt;1,$C349-'B. Implementation Plan'!P156&gt;0),MOD('B. Implementation Plan'!P156,1)*H321*'B. Implementation Plan'!G144*(1-'B. Implementation Plan'!P147)^($C349-1),H321*'B. Implementation Plan'!G144*(1-'B. Implementation Plan'!P147)^($C349-1)),0),0)</f>
        <v>0</v>
      </c>
      <c r="P349" s="78" t="str">
        <f t="shared" si="304"/>
        <v/>
      </c>
    </row>
    <row r="350" spans="3:16" s="365" customFormat="1" x14ac:dyDescent="0.3">
      <c r="C350" s="370">
        <v>9</v>
      </c>
      <c r="E350"/>
      <c r="F350"/>
      <c r="G350"/>
      <c r="H350"/>
      <c r="I350"/>
      <c r="J350"/>
      <c r="K350"/>
      <c r="L350"/>
      <c r="M350"/>
      <c r="N350" s="347">
        <f>IF($C350&lt;=ROUNDUP('B. Implementation Plan'!P156,0),ROUND(IF(AND($C350-'B. Implementation Plan'!P156&lt;1,$C350-'B. Implementation Plan'!P156&gt;0),MOD('B. Implementation Plan'!P156,1)*F321*'B. Implementation Plan'!G144*(1-'B. Implementation Plan'!P147)^($C350-1),F321*'B. Implementation Plan'!G144*(1-'B. Implementation Plan'!P147)^($C350-1)),0),0)</f>
        <v>0</v>
      </c>
      <c r="O350" s="347">
        <f>IF($C350&lt;=ROUNDUP('B. Implementation Plan'!P156,0),ROUND(IF(AND($C350-'B. Implementation Plan'!P156&lt;1,$C350-'B. Implementation Plan'!P156&gt;0),MOD('B. Implementation Plan'!P156,1)*G321*'B. Implementation Plan'!G144*(1-'B. Implementation Plan'!P147)^($C350-1),G321*'B. Implementation Plan'!G144*(1-'B. Implementation Plan'!P147)^($C350-1)),0),0)</f>
        <v>0</v>
      </c>
      <c r="P350" s="78" t="str">
        <f t="shared" si="304"/>
        <v/>
      </c>
    </row>
    <row r="351" spans="3:16" s="365" customFormat="1" x14ac:dyDescent="0.3">
      <c r="C351" s="370">
        <v>10</v>
      </c>
      <c r="E351"/>
      <c r="F351"/>
      <c r="G351"/>
      <c r="H351"/>
      <c r="I351"/>
      <c r="J351"/>
      <c r="K351"/>
      <c r="L351"/>
      <c r="M351"/>
      <c r="N351" s="19"/>
      <c r="O351" s="347">
        <f>IF($C351&lt;=ROUNDUP('B. Implementation Plan'!P156,0),ROUND(IF(AND($C351-'B. Implementation Plan'!P156&lt;1,$C351-'B. Implementation Plan'!P156&gt;0),MOD('B. Implementation Plan'!P156,1)*F321*'B. Implementation Plan'!G144*(1-'B. Implementation Plan'!P147)^($C351-1),F321*'B. Implementation Plan'!G144*(1-'B. Implementation Plan'!P147)^($C351-1)),0),0)</f>
        <v>0</v>
      </c>
      <c r="P351" s="78" t="str">
        <f t="shared" si="304"/>
        <v/>
      </c>
    </row>
    <row r="352" spans="3:16" s="1" customFormat="1" x14ac:dyDescent="0.3">
      <c r="C352" s="376" t="s">
        <v>475</v>
      </c>
      <c r="E352"/>
      <c r="F352" s="371">
        <f t="shared" ref="F352:O352" ca="1" si="305">IF(F318&gt;0,SUM(F342:F351),0)</f>
        <v>0</v>
      </c>
      <c r="G352" s="371">
        <f t="shared" ca="1" si="305"/>
        <v>0</v>
      </c>
      <c r="H352" s="371">
        <f t="shared" ca="1" si="305"/>
        <v>0</v>
      </c>
      <c r="I352" s="371">
        <f t="shared" ca="1" si="305"/>
        <v>0</v>
      </c>
      <c r="J352" s="371">
        <f t="shared" ca="1" si="305"/>
        <v>0</v>
      </c>
      <c r="K352" s="371">
        <f t="shared" ca="1" si="305"/>
        <v>0</v>
      </c>
      <c r="L352" s="371">
        <f t="shared" ca="1" si="305"/>
        <v>0</v>
      </c>
      <c r="M352" s="371">
        <f t="shared" ca="1" si="305"/>
        <v>0</v>
      </c>
      <c r="N352" s="371">
        <f t="shared" ca="1" si="305"/>
        <v>0</v>
      </c>
      <c r="O352" s="371">
        <f t="shared" ca="1" si="305"/>
        <v>0</v>
      </c>
      <c r="P352" s="325">
        <f ca="1">SUM(E352:O352)</f>
        <v>0</v>
      </c>
    </row>
    <row r="353" spans="3:16" s="1" customFormat="1" x14ac:dyDescent="0.3">
      <c r="C353" s="353" t="s">
        <v>478</v>
      </c>
      <c r="E353"/>
      <c r="F353" s="324">
        <f ca="1">MIN(IFERROR(ROUNDUP(IF(F318&gt;0,INDEX(F342:F351,MATCH(9.99999999999999E+307,P342:P351))/IF(MOD('B. Implementation Plan'!P156,1)=0,1,MOD('B. Implementation Plan'!P156,1)),0),0),0),MAX(E342:E351))</f>
        <v>0</v>
      </c>
      <c r="G353" s="324">
        <f ca="1">MIN(IFERROR(ROUNDUP(IF(G318&gt;0,INDEX(G342:G351,MATCH(9.99999999999999E+307,P342:P351))/IF(MOD('B. Implementation Plan'!P156,1)=0,1,MOD('B. Implementation Plan'!P156,1)),0),0),0),MAX(E342:F351))</f>
        <v>0</v>
      </c>
      <c r="H353" s="324">
        <f ca="1">MIN(IFERROR(ROUNDUP(IF(H318&gt;0,INDEX(H342:H351,MATCH(9.99999999999999E+307,P342:P351))/IF(MOD('B. Implementation Plan'!P156,1)=0,1,MOD('B. Implementation Plan'!P156,1)),0),0),0),MAX(E342:G351))</f>
        <v>0</v>
      </c>
      <c r="I353" s="324">
        <f ca="1">MIN(IFERROR(ROUNDUP(IF(I318&gt;0,INDEX(I342:I351,MATCH(9.99999999999999E+307,P342:P351))/IF(MOD('B. Implementation Plan'!P156,1)=0,1,MOD('B. Implementation Plan'!P156,1)),0),0),0),MAX(E342:H351))</f>
        <v>0</v>
      </c>
      <c r="J353" s="324">
        <f ca="1">MIN(IFERROR(ROUNDUP(IF(J318&gt;0,INDEX(J342:J351,MATCH(9.99999999999999E+307,P342:P351))/IF(MOD('B. Implementation Plan'!P156,1)=0,1,MOD('B. Implementation Plan'!P156,1)),0),0),0),MAX(E342:I351))</f>
        <v>0</v>
      </c>
      <c r="K353" s="324">
        <f ca="1">MIN(IFERROR(ROUNDUP(IF(K318&gt;0,INDEX(K342:K351,MATCH(9.99999999999999E+307,P342:P351))/IF(MOD('B. Implementation Plan'!P156,1)=0,1,MOD('B. Implementation Plan'!P156,1)),0),0),0),MAX(E342:J351))</f>
        <v>0</v>
      </c>
      <c r="L353" s="324">
        <f ca="1">MIN(IFERROR(ROUNDUP(IF(L318&gt;0,INDEX(L342:L351,MATCH(9.99999999999999E+307,P342:P351))/IF(MOD('B. Implementation Plan'!P156,1)=0,1,MOD('B. Implementation Plan'!P156,1)),0),0),0),MAX(E342:K351))</f>
        <v>0</v>
      </c>
      <c r="M353" s="324">
        <f ca="1">MIN(IFERROR(ROUNDUP(IF(M318&gt;0,INDEX(M342:M351,MATCH(9.99999999999999E+307,P342:P351))/IF(MOD('B. Implementation Plan'!P156,1)=0,1,MOD('B. Implementation Plan'!P156,1)),0),0),0),MAX(E342:L351))</f>
        <v>0</v>
      </c>
      <c r="N353" s="324">
        <f ca="1">MIN(IFERROR(ROUNDUP(IF(N318&gt;0,INDEX(N342:N351,MATCH(9.99999999999999E+307,P342:P351))/IF(MOD('B. Implementation Plan'!P156,1)=0,1,MOD('B. Implementation Plan'!P156,1)),0),0),0),MAX(E342:M351))</f>
        <v>0</v>
      </c>
      <c r="O353" s="324">
        <f ca="1">MIN(IFERROR(ROUNDUP(IF(O318&gt;0,INDEX(O342:O351,MATCH(9.99999999999999E+307,P342:P351))/IF(MOD('B. Implementation Plan'!P156,1)=0,1,MOD('B. Implementation Plan'!P156,1)),0),0),0),MAX(E342:N351))</f>
        <v>0</v>
      </c>
      <c r="P353" s="325">
        <f ca="1">SUM(E353:O353)</f>
        <v>0</v>
      </c>
    </row>
    <row r="354" spans="3:16" s="365" customFormat="1" x14ac:dyDescent="0.3">
      <c r="C354" s="326" t="s">
        <v>462</v>
      </c>
      <c r="E354"/>
      <c r="F354" s="347">
        <f ca="1">ROUNDUP(IF(F318&gt;0,IF(SUM(E353:F353,E354:E354)*'B. Implementation Plan'!P147&gt;P353,0,-ROUND(SUM(E353:F353,E354:E354)*'B. Implementation Plan'!P147,0)),0),0)</f>
        <v>0</v>
      </c>
      <c r="G354" s="347">
        <f ca="1">ROUNDUP(IF(G318&gt;0,IF(SUM(E353:G353,E354:F354)*'B. Implementation Plan'!P147&gt;P353,0,-ROUND(SUM(E353:G353,E354:F354)*'B. Implementation Plan'!P147,0)),0),0)</f>
        <v>0</v>
      </c>
      <c r="H354" s="347">
        <f ca="1">ROUNDUP(IF(H318&gt;0,IF(SUM(E353:H353,E354:G354)*'B. Implementation Plan'!P147&gt;P353,0,-ROUND(SUM(E353:H353,E354:G354)*'B. Implementation Plan'!P147,0)),0),0)</f>
        <v>0</v>
      </c>
      <c r="I354" s="347">
        <f ca="1">ROUNDUP(IF(I318&gt;0,IF(SUM(E353:I353,E354:H354)*'B. Implementation Plan'!P147&gt;P353,0,-ROUND(SUM(E353:I353,E354:H354)*'B. Implementation Plan'!P147,0)),0),0)</f>
        <v>0</v>
      </c>
      <c r="J354" s="347">
        <f ca="1">ROUNDUP(IF(J318&gt;0,IF(SUM(E353:J353,E354:I354)*'B. Implementation Plan'!P147&gt;P353,0,-ROUND(SUM(E353:J353,E354:I354)*'B. Implementation Plan'!P147,0)),0),0)</f>
        <v>0</v>
      </c>
      <c r="K354" s="347">
        <f ca="1">ROUNDUP(IF(K318&gt;0,IF(SUM(E353:K353,E354:J354)*'B. Implementation Plan'!P147&gt;P353,0,-ROUND(SUM(E353:K353,E354:J354)*'B. Implementation Plan'!P147,0)),0),0)</f>
        <v>0</v>
      </c>
      <c r="L354" s="347">
        <f ca="1">ROUNDUP(IF(L318&gt;0,IF(SUM(E353:L353,E354:K354)*'B. Implementation Plan'!P147&gt;P353,0,-ROUND(SUM(E353:L353,E354:K354)*'B. Implementation Plan'!P147,0)),0),0)</f>
        <v>0</v>
      </c>
      <c r="M354" s="347">
        <f ca="1">ROUNDUP(IF(M318&gt;0,IF(SUM(E353:M353,E354:L354)*'B. Implementation Plan'!P147&gt;P353,0,-ROUND(SUM(E353:M353,E354:L354)*'B. Implementation Plan'!P147,0)),0),0)</f>
        <v>0</v>
      </c>
      <c r="N354" s="347">
        <f ca="1">ROUNDUP(IF(N318&gt;0,IF(SUM(E353:N353,E354:M354)*'B. Implementation Plan'!P147&gt;P353,0,-ROUND(SUM(E353:N353,E354:M354)*'B. Implementation Plan'!P147,0)),0),0)</f>
        <v>0</v>
      </c>
      <c r="O354" s="347">
        <f ca="1">ROUNDUP(IF(O318&gt;0,IF(SUM(E353:O353,E354:N354)*'B. Implementation Plan'!P147&gt;P353,0,-ROUND(SUM(E353:O353,E354:N354)*'B. Implementation Plan'!P147,0)),0),0)</f>
        <v>0</v>
      </c>
      <c r="P354" s="354">
        <f ca="1">SUM(E354:O354)</f>
        <v>0</v>
      </c>
    </row>
    <row r="355" spans="3:16" s="365" customFormat="1" ht="15" thickBot="1" x14ac:dyDescent="0.35">
      <c r="C355" s="326" t="s">
        <v>464</v>
      </c>
      <c r="E355"/>
      <c r="F355" s="347">
        <f ca="1">IF(F318&gt;0,SUM(E353:F354),0)</f>
        <v>0</v>
      </c>
      <c r="G355" s="347">
        <f ca="1">IF(G318&gt;0,SUM(E353:G354),0)</f>
        <v>0</v>
      </c>
      <c r="H355" s="347">
        <f ca="1">IF(H318&gt;0,SUM(E353:H354),0)</f>
        <v>0</v>
      </c>
      <c r="I355" s="347">
        <f ca="1">IF(I318&gt;0,SUM(E353:I354),0)</f>
        <v>0</v>
      </c>
      <c r="J355" s="347">
        <f ca="1">IF(J318&gt;0,SUM(E353:J354),0)</f>
        <v>0</v>
      </c>
      <c r="K355" s="347">
        <f ca="1">IF(K318&gt;0,SUM(E353:K354),0)</f>
        <v>0</v>
      </c>
      <c r="L355" s="347">
        <f ca="1">IF(L318&gt;0,SUM(E353:L354),0)</f>
        <v>0</v>
      </c>
      <c r="M355" s="347">
        <f ca="1">IF(M318&gt;0,SUM(E353:M354),0)</f>
        <v>0</v>
      </c>
      <c r="N355" s="347">
        <f ca="1">IF(N318&gt;0,SUM(E353:N354),0)</f>
        <v>0</v>
      </c>
      <c r="O355" s="369">
        <f ca="1">IF(O318&gt;0,SUM(E353:O354),0)</f>
        <v>0</v>
      </c>
      <c r="P355" s="375">
        <f t="shared" ref="P355" ca="1" si="306">IF(O355=0,IF(N355=0,IF(M355=0,IF(L355=0,IF(K355=0,IF(J355=0,IF(I355=0,IF(H355=0,IF(G355=0,IF(F355=0,E355,F355),G355),H355),I355),J355),K355),L355),M355),N355),O355)</f>
        <v>0</v>
      </c>
    </row>
    <row r="356" spans="3:16" ht="15" thickBot="1" x14ac:dyDescent="0.35">
      <c r="C356" s="59" t="s">
        <v>466</v>
      </c>
    </row>
    <row r="357" spans="3:16" ht="15.6" x14ac:dyDescent="0.3">
      <c r="C357" s="326" t="s">
        <v>473</v>
      </c>
      <c r="F357" s="149">
        <v>1</v>
      </c>
      <c r="G357" s="149">
        <v>2</v>
      </c>
      <c r="H357" s="149">
        <v>3</v>
      </c>
      <c r="I357" s="149">
        <v>4</v>
      </c>
      <c r="J357" s="149">
        <v>5</v>
      </c>
      <c r="K357" s="149">
        <v>6</v>
      </c>
      <c r="L357" s="149">
        <v>7</v>
      </c>
      <c r="M357" s="149">
        <v>8</v>
      </c>
      <c r="N357" s="149">
        <v>9</v>
      </c>
      <c r="O357" s="374">
        <v>10</v>
      </c>
      <c r="P357" s="351" t="s">
        <v>2</v>
      </c>
    </row>
    <row r="358" spans="3:16" s="365" customFormat="1" x14ac:dyDescent="0.3">
      <c r="C358" s="370">
        <v>1</v>
      </c>
      <c r="E358"/>
      <c r="F358" s="347">
        <f ca="1">IF($C358&lt;=ROUNDUP('B. Implementation Plan'!P155,0),ROUND(IF(AND($C358-'B. Implementation Plan'!P155&lt;1,$C358-'B. Implementation Plan'!P155&gt;0),MOD('B. Implementation Plan'!P155,1)*(E323+F323)*(1-'B. Implementation Plan'!P149)*'B. Implementation Plan'!P152*'B. Implementation Plan'!P153*(1-'B. Implementation Plan'!P147)^($C358-1),(E323+F323)*(1-'B. Implementation Plan'!P149)*'B. Implementation Plan'!P152*'B. Implementation Plan'!P153*(1-'B. Implementation Plan'!P147)^($C358-1)),0),0)</f>
        <v>0</v>
      </c>
      <c r="G358" s="347">
        <f ca="1">IF($C358&lt;=ROUNDUP('B. Implementation Plan'!P155,0),ROUND(IF(AND($C358-'B. Implementation Plan'!P155&lt;1,$C358-'B. Implementation Plan'!P155&gt;0),MOD('B. Implementation Plan'!P155,1)*G323*(1-'B. Implementation Plan'!P149)*'B. Implementation Plan'!P152*'B. Implementation Plan'!P153*(1-'B. Implementation Plan'!P147)^($C358-1),G323*(1-'B. Implementation Plan'!P149)*'B. Implementation Plan'!P152*'B. Implementation Plan'!P153*(1-'B. Implementation Plan'!P147)^($C358-1)),0),0)</f>
        <v>0</v>
      </c>
      <c r="H358" s="347">
        <f ca="1">IF($C358&lt;=ROUNDUP('B. Implementation Plan'!P155,0),ROUND(IF(AND($C358-'B. Implementation Plan'!P155&lt;1,$C358-'B. Implementation Plan'!P155&gt;0),MOD('B. Implementation Plan'!P155,1)*H323*(1-'B. Implementation Plan'!P149)*'B. Implementation Plan'!P152*'B. Implementation Plan'!P153*(1-'B. Implementation Plan'!P147)^($C358-1),H323*(1-'B. Implementation Plan'!P149)*'B. Implementation Plan'!P152*'B. Implementation Plan'!P153*(1-'B. Implementation Plan'!P147)^($C358-1)),0),0)</f>
        <v>0</v>
      </c>
      <c r="I358" s="347">
        <f ca="1">IF($C358&lt;=ROUNDUP('B. Implementation Plan'!P155,0),ROUND(IF(AND($C358-'B. Implementation Plan'!P155&lt;1,$C358-'B. Implementation Plan'!P155&gt;0),MOD('B. Implementation Plan'!P155,1)*I323*(1-'B. Implementation Plan'!P149)*'B. Implementation Plan'!P152*'B. Implementation Plan'!P153*(1-'B. Implementation Plan'!P147)^($C358-1),I323*(1-'B. Implementation Plan'!P149)*'B. Implementation Plan'!P152*'B. Implementation Plan'!P153*(1-'B. Implementation Plan'!P147)^($C358-1)),0),0)</f>
        <v>0</v>
      </c>
      <c r="J358" s="347">
        <f ca="1">IF($C358&lt;=ROUNDUP('B. Implementation Plan'!P155,0),ROUND(IF(AND($C358-'B. Implementation Plan'!P155&lt;1,$C358-'B. Implementation Plan'!P155&gt;0),MOD('B. Implementation Plan'!P155,1)*J323*(1-'B. Implementation Plan'!P149)*'B. Implementation Plan'!P152*'B. Implementation Plan'!P153*(1-'B. Implementation Plan'!P147)^($C358-1),J323*(1-'B. Implementation Plan'!P149)*'B. Implementation Plan'!P152*'B. Implementation Plan'!P153*(1-'B. Implementation Plan'!P147)^($C358-1)),0),0)</f>
        <v>0</v>
      </c>
      <c r="K358" s="347">
        <f ca="1">IF($C358&lt;=ROUNDUP('B. Implementation Plan'!P155,0),ROUND(IF(AND($C358-'B. Implementation Plan'!P155&lt;1,$C358-'B. Implementation Plan'!P155&gt;0),MOD('B. Implementation Plan'!P155,1)*K323*(1-'B. Implementation Plan'!P149)*'B. Implementation Plan'!P152*'B. Implementation Plan'!P153*(1-'B. Implementation Plan'!P147)^($C358-1),K323*(1-'B. Implementation Plan'!P149)*'B. Implementation Plan'!P152*'B. Implementation Plan'!P153*(1-'B. Implementation Plan'!P147)^($C358-1)),0),0)</f>
        <v>0</v>
      </c>
      <c r="L358" s="347">
        <f ca="1">IF($C358&lt;=ROUNDUP('B. Implementation Plan'!P155,0),ROUND(IF(AND($C358-'B. Implementation Plan'!P155&lt;1,$C358-'B. Implementation Plan'!P155&gt;0),MOD('B. Implementation Plan'!P155,1)*L323*(1-'B. Implementation Plan'!P149)*'B. Implementation Plan'!P152*'B. Implementation Plan'!P153*(1-'B. Implementation Plan'!P147)^($C358-1),L323*(1-'B. Implementation Plan'!P149)*'B. Implementation Plan'!P152*'B. Implementation Plan'!P153*(1-'B. Implementation Plan'!P147)^($C358-1)),0),0)</f>
        <v>0</v>
      </c>
      <c r="M358" s="347">
        <f ca="1">IF($C358&lt;=ROUNDUP('B. Implementation Plan'!P155,0),ROUND(IF(AND($C358-'B. Implementation Plan'!P155&lt;1,$C358-'B. Implementation Plan'!P155&gt;0),MOD('B. Implementation Plan'!P155,1)*M323*(1-'B. Implementation Plan'!P149)*'B. Implementation Plan'!P152*'B. Implementation Plan'!P153*(1-'B. Implementation Plan'!P147)^($C358-1),M323*(1-'B. Implementation Plan'!P149)*'B. Implementation Plan'!P152*'B. Implementation Plan'!P153*(1-'B. Implementation Plan'!P147)^($C358-1)),0),0)</f>
        <v>0</v>
      </c>
      <c r="N358" s="347">
        <f ca="1">IF($C358&lt;=ROUNDUP('B. Implementation Plan'!P155,0),ROUND(IF(AND($C358-'B. Implementation Plan'!P155&lt;1,$C358-'B. Implementation Plan'!P155&gt;0),MOD('B. Implementation Plan'!P155,1)*N323*(1-'B. Implementation Plan'!P149)*'B. Implementation Plan'!P152*'B. Implementation Plan'!P153*(1-'B. Implementation Plan'!P147)^($C358-1),N323*(1-'B. Implementation Plan'!P149)*'B. Implementation Plan'!P152*'B. Implementation Plan'!P153*(1-'B. Implementation Plan'!P147)^($C358-1)),0),0)</f>
        <v>0</v>
      </c>
      <c r="O358" s="347">
        <f ca="1">IF($C358&lt;=ROUNDUP('B. Implementation Plan'!P155,0),ROUND(IF(AND($C358-'B. Implementation Plan'!P155&lt;1,$C358-'B. Implementation Plan'!P155&gt;0),MOD('B. Implementation Plan'!P155,1)*O323*(1-'B. Implementation Plan'!P149)*'B. Implementation Plan'!P152*'B. Implementation Plan'!P153*(1-'B. Implementation Plan'!P147)^($C358-1),O323*(1-'B. Implementation Plan'!P149)*'B. Implementation Plan'!P152*'B. Implementation Plan'!P153*(1-'B. Implementation Plan'!P147)^($C358-1)),0),0)</f>
        <v>0</v>
      </c>
      <c r="P358" s="78" t="str">
        <f ca="1">IF(SUM(F358:O358)&gt;0,SUM(F358:O358),"")</f>
        <v/>
      </c>
    </row>
    <row r="359" spans="3:16" s="365" customFormat="1" x14ac:dyDescent="0.3">
      <c r="C359" s="370">
        <v>2</v>
      </c>
      <c r="E359"/>
      <c r="F359"/>
      <c r="G359" s="347">
        <f ca="1">IF($C359&lt;=ROUNDUP('B. Implementation Plan'!P155,0),ROUND(IF(AND($C359-'B. Implementation Plan'!P155&lt;1,$C359-'B. Implementation Plan'!P155&gt;0),MOD('B. Implementation Plan'!P155,1)*(E323+F323)*(1-'B. Implementation Plan'!P149)*'B. Implementation Plan'!P152*'B. Implementation Plan'!P153*(1-'B. Implementation Plan'!P147)^($C359-1),(E323+F323)*(1-'B. Implementation Plan'!P149)*'B. Implementation Plan'!P152*'B. Implementation Plan'!P153*(1-'B. Implementation Plan'!P147)^($C359-1)),0),0)</f>
        <v>0</v>
      </c>
      <c r="H359" s="347">
        <f ca="1">IF($C359&lt;=ROUNDUP('B. Implementation Plan'!P155,0),ROUND(IF(AND($C359-'B. Implementation Plan'!P155&lt;1,$C359-'B. Implementation Plan'!P155&gt;0),MOD('B. Implementation Plan'!P155,1)*G323*(1-'B. Implementation Plan'!P149)*'B. Implementation Plan'!P152*'B. Implementation Plan'!P153*(1-'B. Implementation Plan'!P147)^($C359-1),G323*(1-'B. Implementation Plan'!P149)*'B. Implementation Plan'!P152*'B. Implementation Plan'!P153*(1-'B. Implementation Plan'!P147)^($C359-1)),0),0)</f>
        <v>0</v>
      </c>
      <c r="I359" s="347">
        <f ca="1">IF($C359&lt;=ROUNDUP('B. Implementation Plan'!P155,0),ROUND(IF(AND($C359-'B. Implementation Plan'!P155&lt;1,$C359-'B. Implementation Plan'!P155&gt;0),MOD('B. Implementation Plan'!P155,1)*H323*(1-'B. Implementation Plan'!P149)*'B. Implementation Plan'!P152*'B. Implementation Plan'!P153*(1-'B. Implementation Plan'!P147)^($C359-1),H323*(1-'B. Implementation Plan'!P149)*'B. Implementation Plan'!P152*'B. Implementation Plan'!P153*(1-'B. Implementation Plan'!P147)^($C359-1)),0),0)</f>
        <v>0</v>
      </c>
      <c r="J359" s="347">
        <f ca="1">IF($C359&lt;=ROUNDUP('B. Implementation Plan'!P155,0),ROUND(IF(AND($C359-'B. Implementation Plan'!P155&lt;1,$C359-'B. Implementation Plan'!P155&gt;0),MOD('B. Implementation Plan'!P155,1)*I323*(1-'B. Implementation Plan'!P149)*'B. Implementation Plan'!P152*'B. Implementation Plan'!P153*(1-'B. Implementation Plan'!P147)^($C359-1),I323*(1-'B. Implementation Plan'!P149)*'B. Implementation Plan'!P152*'B. Implementation Plan'!P153*(1-'B. Implementation Plan'!P147)^($C359-1)),0),0)</f>
        <v>0</v>
      </c>
      <c r="K359" s="347">
        <f ca="1">IF($C359&lt;=ROUNDUP('B. Implementation Plan'!P155,0),ROUND(IF(AND($C359-'B. Implementation Plan'!P155&lt;1,$C359-'B. Implementation Plan'!P155&gt;0),MOD('B. Implementation Plan'!P155,1)*J323*(1-'B. Implementation Plan'!P149)*'B. Implementation Plan'!P152*'B. Implementation Plan'!P153*(1-'B. Implementation Plan'!P147)^($C359-1),J323*(1-'B. Implementation Plan'!P149)*'B. Implementation Plan'!P152*'B. Implementation Plan'!P153*(1-'B. Implementation Plan'!P147)^($C359-1)),0),0)</f>
        <v>0</v>
      </c>
      <c r="L359" s="347">
        <f ca="1">IF($C359&lt;=ROUNDUP('B. Implementation Plan'!P155,0),ROUND(IF(AND($C359-'B. Implementation Plan'!P155&lt;1,$C359-'B. Implementation Plan'!P155&gt;0),MOD('B. Implementation Plan'!P155,1)*K323*(1-'B. Implementation Plan'!P149)*'B. Implementation Plan'!P152*'B. Implementation Plan'!P153*(1-'B. Implementation Plan'!P147)^($C359-1),K323*(1-'B. Implementation Plan'!P149)*'B. Implementation Plan'!P152*'B. Implementation Plan'!P153*(1-'B. Implementation Plan'!P147)^($C359-1)),0),0)</f>
        <v>0</v>
      </c>
      <c r="M359" s="347">
        <f ca="1">IF($C359&lt;=ROUNDUP('B. Implementation Plan'!P155,0),ROUND(IF(AND($C359-'B. Implementation Plan'!P155&lt;1,$C359-'B. Implementation Plan'!P155&gt;0),MOD('B. Implementation Plan'!P155,1)*L323*(1-'B. Implementation Plan'!P149)*'B. Implementation Plan'!P152*'B. Implementation Plan'!P153*(1-'B. Implementation Plan'!P147)^($C359-1),L323*(1-'B. Implementation Plan'!P149)*'B. Implementation Plan'!P152*'B. Implementation Plan'!P153*(1-'B. Implementation Plan'!P147)^($C359-1)),0),0)</f>
        <v>0</v>
      </c>
      <c r="N359" s="347">
        <f ca="1">IF($C359&lt;=ROUNDUP('B. Implementation Plan'!P155,0),ROUND(IF(AND($C359-'B. Implementation Plan'!P155&lt;1,$C359-'B. Implementation Plan'!P155&gt;0),MOD('B. Implementation Plan'!P155,1)*M323*(1-'B. Implementation Plan'!P149)*'B. Implementation Plan'!P152*'B. Implementation Plan'!P153*(1-'B. Implementation Plan'!P147)^($C359-1),M323*(1-'B. Implementation Plan'!P149)*'B. Implementation Plan'!P152*'B. Implementation Plan'!P153*(1-'B. Implementation Plan'!P147)^($C359-1)),0),0)</f>
        <v>0</v>
      </c>
      <c r="O359" s="347">
        <f ca="1">IF($C359&lt;=ROUNDUP('B. Implementation Plan'!P155,0),ROUND(IF(AND($C359-'B. Implementation Plan'!P155&lt;1,$C359-'B. Implementation Plan'!P155&gt;0),MOD('B. Implementation Plan'!P155,1)*N323*(1-'B. Implementation Plan'!P149)*'B. Implementation Plan'!P152*'B. Implementation Plan'!P153*(1-'B. Implementation Plan'!P147)^($C359-1),N323*(1-'B. Implementation Plan'!P149)*'B. Implementation Plan'!P152*'B. Implementation Plan'!P153*(1-'B. Implementation Plan'!P147)^($C359-1)),0),0)</f>
        <v>0</v>
      </c>
      <c r="P359" s="78" t="str">
        <f t="shared" ref="P359:P367" ca="1" si="307">IF(SUM(F359:O359)&gt;0,SUM(F359:O359),"")</f>
        <v/>
      </c>
    </row>
    <row r="360" spans="3:16" s="365" customFormat="1" x14ac:dyDescent="0.3">
      <c r="C360" s="370">
        <v>3</v>
      </c>
      <c r="E360"/>
      <c r="F360"/>
      <c r="G360"/>
      <c r="H360" s="347">
        <f ca="1">IF($C360&lt;=ROUNDUP('B. Implementation Plan'!P155,0),ROUND(IF(AND($C360-'B. Implementation Plan'!P155&lt;1,$C360-'B. Implementation Plan'!P155&gt;0),MOD('B. Implementation Plan'!P155,1)*(E323+F323)*(1-'B. Implementation Plan'!P149)*'B. Implementation Plan'!P152*'B. Implementation Plan'!P153*(1-'B. Implementation Plan'!P147)^($C360-1),(E323+F323)*(1-'B. Implementation Plan'!P149)*'B. Implementation Plan'!P152*'B. Implementation Plan'!P153*(1-'B. Implementation Plan'!P147)^($C360-1)),0),0)</f>
        <v>0</v>
      </c>
      <c r="I360" s="347">
        <f ca="1">IF($C360&lt;=ROUNDUP('B. Implementation Plan'!P155,0),ROUND(IF(AND($C360-'B. Implementation Plan'!P155&lt;1,$C360-'B. Implementation Plan'!P155&gt;0),MOD('B. Implementation Plan'!P155,1)*G323*(1-'B. Implementation Plan'!P149)*'B. Implementation Plan'!P152*'B. Implementation Plan'!P153*(1-'B. Implementation Plan'!P147)^($C360-1),G323*(1-'B. Implementation Plan'!P149)*'B. Implementation Plan'!P152*'B. Implementation Plan'!P153*(1-'B. Implementation Plan'!P147)^($C360-1)),0),0)</f>
        <v>0</v>
      </c>
      <c r="J360" s="347">
        <f ca="1">IF($C360&lt;=ROUNDUP('B. Implementation Plan'!P155,0),ROUND(IF(AND($C360-'B. Implementation Plan'!P155&lt;1,$C360-'B. Implementation Plan'!P155&gt;0),MOD('B. Implementation Plan'!P155,1)*H323*(1-'B. Implementation Plan'!P149)*'B. Implementation Plan'!P152*'B. Implementation Plan'!P153*(1-'B. Implementation Plan'!P147)^($C360-1),H323*(1-'B. Implementation Plan'!P149)*'B. Implementation Plan'!P152*'B. Implementation Plan'!P153*(1-'B. Implementation Plan'!P147)^($C360-1)),0),0)</f>
        <v>0</v>
      </c>
      <c r="K360" s="347">
        <f ca="1">IF($C360&lt;=ROUNDUP('B. Implementation Plan'!P155,0),ROUND(IF(AND($C360-'B. Implementation Plan'!P155&lt;1,$C360-'B. Implementation Plan'!P155&gt;0),MOD('B. Implementation Plan'!P155,1)*I323*(1-'B. Implementation Plan'!P149)*'B. Implementation Plan'!P152*'B. Implementation Plan'!P153*(1-'B. Implementation Plan'!P147)^($C360-1),I323*(1-'B. Implementation Plan'!P149)*'B. Implementation Plan'!P152*'B. Implementation Plan'!P153*(1-'B. Implementation Plan'!P147)^($C360-1)),0),0)</f>
        <v>0</v>
      </c>
      <c r="L360" s="347">
        <f ca="1">IF($C360&lt;=ROUNDUP('B. Implementation Plan'!P155,0),ROUND(IF(AND($C360-'B. Implementation Plan'!P155&lt;1,$C360-'B. Implementation Plan'!P155&gt;0),MOD('B. Implementation Plan'!P155,1)*J323*(1-'B. Implementation Plan'!P149)*'B. Implementation Plan'!P152*'B. Implementation Plan'!P153*(1-'B. Implementation Plan'!P147)^($C360-1),J323*(1-'B. Implementation Plan'!P149)*'B. Implementation Plan'!P152*'B. Implementation Plan'!P153*(1-'B. Implementation Plan'!P147)^($C360-1)),0),0)</f>
        <v>0</v>
      </c>
      <c r="M360" s="347">
        <f ca="1">IF($C360&lt;=ROUNDUP('B. Implementation Plan'!P155,0),ROUND(IF(AND($C360-'B. Implementation Plan'!P155&lt;1,$C360-'B. Implementation Plan'!P155&gt;0),MOD('B. Implementation Plan'!P155,1)*K323*(1-'B. Implementation Plan'!P149)*'B. Implementation Plan'!P152*'B. Implementation Plan'!P153*(1-'B. Implementation Plan'!P147)^($C360-1),K323*(1-'B. Implementation Plan'!P149)*'B. Implementation Plan'!P152*'B. Implementation Plan'!P153*(1-'B. Implementation Plan'!P147)^($C360-1)),0),0)</f>
        <v>0</v>
      </c>
      <c r="N360" s="347">
        <f ca="1">IF($C360&lt;=ROUNDUP('B. Implementation Plan'!P155,0),ROUND(IF(AND($C360-'B. Implementation Plan'!P155&lt;1,$C360-'B. Implementation Plan'!P155&gt;0),MOD('B. Implementation Plan'!P155,1)*L323*(1-'B. Implementation Plan'!P149)*'B. Implementation Plan'!P152*'B. Implementation Plan'!P153*(1-'B. Implementation Plan'!P147)^($C360-1),L323*(1-'B. Implementation Plan'!P149)*'B. Implementation Plan'!P152*'B. Implementation Plan'!P153*(1-'B. Implementation Plan'!P147)^($C360-1)),0),0)</f>
        <v>0</v>
      </c>
      <c r="O360" s="347">
        <f ca="1">IF($C360&lt;=ROUNDUP('B. Implementation Plan'!P155,0),ROUND(IF(AND($C360-'B. Implementation Plan'!P155&lt;1,$C360-'B. Implementation Plan'!P155&gt;0),MOD('B. Implementation Plan'!P155,1)*M323*(1-'B. Implementation Plan'!P149)*'B. Implementation Plan'!P152*'B. Implementation Plan'!P153*(1-'B. Implementation Plan'!P147)^($C360-1),M323*(1-'B. Implementation Plan'!P149)*'B. Implementation Plan'!P152*'B. Implementation Plan'!P153*(1-'B. Implementation Plan'!P147)^($C360-1)),0),0)</f>
        <v>0</v>
      </c>
      <c r="P360" s="78" t="str">
        <f t="shared" ca="1" si="307"/>
        <v/>
      </c>
    </row>
    <row r="361" spans="3:16" s="365" customFormat="1" x14ac:dyDescent="0.3">
      <c r="C361" s="370">
        <v>4</v>
      </c>
      <c r="D361" s="365" t="s">
        <v>361</v>
      </c>
      <c r="E361"/>
      <c r="F361"/>
      <c r="G361"/>
      <c r="H361"/>
      <c r="I361" s="347">
        <f>IF($C361&lt;=ROUNDUP('B. Implementation Plan'!P155,0),ROUND(IF(AND($C361-'B. Implementation Plan'!P155&lt;1,$C361-'B. Implementation Plan'!P155&gt;0),MOD('B. Implementation Plan'!P155,1)*(E323+F323)*(1-'B. Implementation Plan'!P149)*'B. Implementation Plan'!P152*'B. Implementation Plan'!P153*(1-'B. Implementation Plan'!P147)^($C361-1),(E323+F323)*(1-'B. Implementation Plan'!P149)*'B. Implementation Plan'!P152*'B. Implementation Plan'!P153*(1-'B. Implementation Plan'!P147)^($C361-1)),0),0)</f>
        <v>0</v>
      </c>
      <c r="J361" s="347">
        <f>IF($C361&lt;=ROUNDUP('B. Implementation Plan'!P155,0),ROUND(IF(AND($C361-'B. Implementation Plan'!P155&lt;1,$C361-'B. Implementation Plan'!P155&gt;0),MOD('B. Implementation Plan'!P155,1)*G323*(1-'B. Implementation Plan'!P149)*'B. Implementation Plan'!P152*'B. Implementation Plan'!P153*(1-'B. Implementation Plan'!P147)^($C361-1),G323*(1-'B. Implementation Plan'!P149)*'B. Implementation Plan'!P152*'B. Implementation Plan'!P153*(1-'B. Implementation Plan'!P147)^($C361-1)),0),0)</f>
        <v>0</v>
      </c>
      <c r="K361" s="347">
        <f>IF($C361&lt;=ROUNDUP('B. Implementation Plan'!P155,0),ROUND(IF(AND($C361-'B. Implementation Plan'!P155&lt;1,$C361-'B. Implementation Plan'!P155&gt;0),MOD('B. Implementation Plan'!P155,1)*H323*(1-'B. Implementation Plan'!P149)*'B. Implementation Plan'!P152*'B. Implementation Plan'!P153*(1-'B. Implementation Plan'!P147)^($C361-1),H323*(1-'B. Implementation Plan'!P149)*'B. Implementation Plan'!P152*'B. Implementation Plan'!P153*(1-'B. Implementation Plan'!P147)^($C361-1)),0),0)</f>
        <v>0</v>
      </c>
      <c r="L361" s="347">
        <f>IF($C361&lt;=ROUNDUP('B. Implementation Plan'!P155,0),ROUND(IF(AND($C361-'B. Implementation Plan'!P155&lt;1,$C361-'B. Implementation Plan'!P155&gt;0),MOD('B. Implementation Plan'!P155,1)*I323*(1-'B. Implementation Plan'!P149)*'B. Implementation Plan'!P152*'B. Implementation Plan'!P153*(1-'B. Implementation Plan'!P147)^($C361-1),I323*(1-'B. Implementation Plan'!P149)*'B. Implementation Plan'!P152*'B. Implementation Plan'!P153*(1-'B. Implementation Plan'!P147)^($C361-1)),0),0)</f>
        <v>0</v>
      </c>
      <c r="M361" s="347">
        <f>IF($C361&lt;=ROUNDUP('B. Implementation Plan'!P155,0),ROUND(IF(AND($C361-'B. Implementation Plan'!P155&lt;1,$C361-'B. Implementation Plan'!P155&gt;0),MOD('B. Implementation Plan'!P155,1)*J323*(1-'B. Implementation Plan'!P149)*'B. Implementation Plan'!P152*'B. Implementation Plan'!P153*(1-'B. Implementation Plan'!P147)^($C361-1),J323*(1-'B. Implementation Plan'!P149)*'B. Implementation Plan'!P152*'B. Implementation Plan'!P153*(1-'B. Implementation Plan'!P147)^($C361-1)),0),0)</f>
        <v>0</v>
      </c>
      <c r="N361" s="347">
        <f>IF($C361&lt;=ROUNDUP('B. Implementation Plan'!P155,0),ROUND(IF(AND($C361-'B. Implementation Plan'!P155&lt;1,$C361-'B. Implementation Plan'!P155&gt;0),MOD('B. Implementation Plan'!P155,1)*K323*(1-'B. Implementation Plan'!P149)*'B. Implementation Plan'!P152*'B. Implementation Plan'!P153*(1-'B. Implementation Plan'!P147)^($C361-1),K323*(1-'B. Implementation Plan'!P149)*'B. Implementation Plan'!P152*'B. Implementation Plan'!P153*(1-'B. Implementation Plan'!P147)^($C361-1)),0),0)</f>
        <v>0</v>
      </c>
      <c r="O361" s="347">
        <f>IF($C361&lt;=ROUNDUP('B. Implementation Plan'!P155,0),ROUND(IF(AND($C361-'B. Implementation Plan'!P155&lt;1,$C361-'B. Implementation Plan'!P155&gt;0),MOD('B. Implementation Plan'!P155,1)*L323*(1-'B. Implementation Plan'!P149)*'B. Implementation Plan'!P152*'B. Implementation Plan'!P153*(1-'B. Implementation Plan'!P147)^($C361-1),L323*(1-'B. Implementation Plan'!P149)*'B. Implementation Plan'!P152*'B. Implementation Plan'!P153*(1-'B. Implementation Plan'!P147)^($C361-1)),0),0)</f>
        <v>0</v>
      </c>
      <c r="P361" s="78" t="str">
        <f t="shared" si="307"/>
        <v/>
      </c>
    </row>
    <row r="362" spans="3:16" s="365" customFormat="1" x14ac:dyDescent="0.3">
      <c r="C362" s="370">
        <v>5</v>
      </c>
      <c r="E362"/>
      <c r="F362"/>
      <c r="G362"/>
      <c r="H362"/>
      <c r="I362"/>
      <c r="J362" s="347">
        <f>IF($C362&lt;=ROUNDUP('B. Implementation Plan'!P155,0),ROUND(IF(AND($C362-'B. Implementation Plan'!P155&lt;1,$C362-'B. Implementation Plan'!P155&gt;0),MOD('B. Implementation Plan'!P155,1)*(E323+F323)*(1-'B. Implementation Plan'!P149)*'B. Implementation Plan'!P152*'B. Implementation Plan'!P153*(1-'B. Implementation Plan'!P147)^($C362-1),(E323+F323)*(1-'B. Implementation Plan'!P149)*'B. Implementation Plan'!P152*'B. Implementation Plan'!P153*(1-'B. Implementation Plan'!P147)^($C362-1)),0),0)</f>
        <v>0</v>
      </c>
      <c r="K362" s="347">
        <f>IF($C362&lt;=ROUNDUP('B. Implementation Plan'!P155,0),ROUND(IF(AND($C362-'B. Implementation Plan'!P155&lt;1,$C362-'B. Implementation Plan'!P155&gt;0),MOD('B. Implementation Plan'!P155,1)*G323*(1-'B. Implementation Plan'!P149)*'B. Implementation Plan'!P152*'B. Implementation Plan'!P153*(1-'B. Implementation Plan'!P147)^($C362-1),G323*(1-'B. Implementation Plan'!P149)*'B. Implementation Plan'!P152*'B. Implementation Plan'!P153*(1-'B. Implementation Plan'!P147)^($C362-1)),0),0)</f>
        <v>0</v>
      </c>
      <c r="L362" s="347">
        <f>IF($C362&lt;=ROUNDUP('B. Implementation Plan'!P155,0),ROUND(IF(AND($C362-'B. Implementation Plan'!P155&lt;1,$C362-'B. Implementation Plan'!P155&gt;0),MOD('B. Implementation Plan'!P155,1)*H323*(1-'B. Implementation Plan'!P149)*'B. Implementation Plan'!P152*'B. Implementation Plan'!P153*(1-'B. Implementation Plan'!P147)^($C362-1),H323*(1-'B. Implementation Plan'!P149)*'B. Implementation Plan'!P152*'B. Implementation Plan'!P153*(1-'B. Implementation Plan'!P147)^($C362-1)),0),0)</f>
        <v>0</v>
      </c>
      <c r="M362" s="347">
        <f>IF($C362&lt;=ROUNDUP('B. Implementation Plan'!P155,0),ROUND(IF(AND($C362-'B. Implementation Plan'!P155&lt;1,$C362-'B. Implementation Plan'!P155&gt;0),MOD('B. Implementation Plan'!P155,1)*I323*(1-'B. Implementation Plan'!P149)*'B. Implementation Plan'!P152*'B. Implementation Plan'!P153*(1-'B. Implementation Plan'!P147)^($C362-1),I323*(1-'B. Implementation Plan'!P149)*'B. Implementation Plan'!P152*'B. Implementation Plan'!P153*(1-'B. Implementation Plan'!P147)^($C362-1)),0),0)</f>
        <v>0</v>
      </c>
      <c r="N362" s="347">
        <f>IF($C362&lt;=ROUNDUP('B. Implementation Plan'!P155,0),ROUND(IF(AND($C362-'B. Implementation Plan'!P155&lt;1,$C362-'B. Implementation Plan'!P155&gt;0),MOD('B. Implementation Plan'!P155,1)*J323*(1-'B. Implementation Plan'!P149)*'B. Implementation Plan'!P152*'B. Implementation Plan'!P153*(1-'B. Implementation Plan'!P147)^($C362-1),J323*(1-'B. Implementation Plan'!P149)*'B. Implementation Plan'!P152*'B. Implementation Plan'!P153*(1-'B. Implementation Plan'!P147)^($C362-1)),0),0)</f>
        <v>0</v>
      </c>
      <c r="O362" s="347">
        <f>IF($C362&lt;=ROUNDUP('B. Implementation Plan'!P155,0),ROUND(IF(AND($C362-'B. Implementation Plan'!P155&lt;1,$C362-'B. Implementation Plan'!P155&gt;0),MOD('B. Implementation Plan'!P155,1)*K323*(1-'B. Implementation Plan'!P149)*'B. Implementation Plan'!P152*'B. Implementation Plan'!P153*(1-'B. Implementation Plan'!P147)^($C362-1),K323*(1-'B. Implementation Plan'!P149)*'B. Implementation Plan'!P152*'B. Implementation Plan'!P153*(1-'B. Implementation Plan'!P147)^($C362-1)),0),0)</f>
        <v>0</v>
      </c>
      <c r="P362" s="78" t="str">
        <f t="shared" si="307"/>
        <v/>
      </c>
    </row>
    <row r="363" spans="3:16" s="365" customFormat="1" x14ac:dyDescent="0.3">
      <c r="C363" s="370">
        <v>6</v>
      </c>
      <c r="E363"/>
      <c r="F363"/>
      <c r="G363"/>
      <c r="H363"/>
      <c r="I363"/>
      <c r="J363"/>
      <c r="K363" s="347">
        <f>IF($C363&lt;=ROUNDUP('B. Implementation Plan'!P155,0),ROUND(IF(AND($C363-'B. Implementation Plan'!P155&lt;1,$C363-'B. Implementation Plan'!P155&gt;0),MOD('B. Implementation Plan'!P155,1)*(E323+F323)*(1-'B. Implementation Plan'!P149)*'B. Implementation Plan'!P152*'B. Implementation Plan'!P153*(1-'B. Implementation Plan'!P147)^($C363-1),(E323+F323)*(1-'B. Implementation Plan'!P149)*'B. Implementation Plan'!P152*'B. Implementation Plan'!P153*(1-'B. Implementation Plan'!P147)^($C363-1)),0),0)</f>
        <v>0</v>
      </c>
      <c r="L363" s="347">
        <f>IF($C363&lt;=ROUNDUP('B. Implementation Plan'!P155,0),ROUND(IF(AND($C363-'B. Implementation Plan'!P155&lt;1,$C363-'B. Implementation Plan'!P155&gt;0),MOD('B. Implementation Plan'!P155,1)*G323*(1-'B. Implementation Plan'!P149)*'B. Implementation Plan'!P152*'B. Implementation Plan'!P153*(1-'B. Implementation Plan'!P147)^($C363-1),G323*(1-'B. Implementation Plan'!P149)*'B. Implementation Plan'!P152*'B. Implementation Plan'!P153*(1-'B. Implementation Plan'!P147)^($C363-1)),0),0)</f>
        <v>0</v>
      </c>
      <c r="M363" s="347">
        <f>IF($C363&lt;=ROUNDUP('B. Implementation Plan'!P155,0),ROUND(IF(AND($C363-'B. Implementation Plan'!P155&lt;1,$C363-'B. Implementation Plan'!P155&gt;0),MOD('B. Implementation Plan'!P155,1)*H323*(1-'B. Implementation Plan'!P149)*'B. Implementation Plan'!P152*'B. Implementation Plan'!P153*(1-'B. Implementation Plan'!P147)^($C363-1),H323*(1-'B. Implementation Plan'!P149)*'B. Implementation Plan'!P152*'B. Implementation Plan'!P153*(1-'B. Implementation Plan'!P147)^($C363-1)),0),0)</f>
        <v>0</v>
      </c>
      <c r="N363" s="347">
        <f>IF($C363&lt;=ROUNDUP('B. Implementation Plan'!P155,0),ROUND(IF(AND($C363-'B. Implementation Plan'!P155&lt;1,$C363-'B. Implementation Plan'!P155&gt;0),MOD('B. Implementation Plan'!P155,1)*I323*(1-'B. Implementation Plan'!P149)*'B. Implementation Plan'!P152*'B. Implementation Plan'!P153*(1-'B. Implementation Plan'!P147)^($C363-1),I323*(1-'B. Implementation Plan'!P149)*'B. Implementation Plan'!P152*'B. Implementation Plan'!P153*(1-'B. Implementation Plan'!P147)^($C363-1)),0),0)</f>
        <v>0</v>
      </c>
      <c r="O363" s="347">
        <f>IF($C363&lt;=ROUNDUP('B. Implementation Plan'!P155,0),ROUND(IF(AND($C363-'B. Implementation Plan'!P155&lt;1,$C363-'B. Implementation Plan'!P155&gt;0),MOD('B. Implementation Plan'!P155,1)*J323*(1-'B. Implementation Plan'!P149)*'B. Implementation Plan'!P152*'B. Implementation Plan'!P153*(1-'B. Implementation Plan'!P147)^($C363-1),J323*(1-'B. Implementation Plan'!P149)*'B. Implementation Plan'!P152*'B. Implementation Plan'!P153*(1-'B. Implementation Plan'!P147)^($C363-1)),0),0)</f>
        <v>0</v>
      </c>
      <c r="P363" s="78" t="str">
        <f t="shared" si="307"/>
        <v/>
      </c>
    </row>
    <row r="364" spans="3:16" s="365" customFormat="1" x14ac:dyDescent="0.3">
      <c r="C364" s="370">
        <v>7</v>
      </c>
      <c r="E364"/>
      <c r="F364"/>
      <c r="G364"/>
      <c r="H364"/>
      <c r="I364"/>
      <c r="J364"/>
      <c r="K364"/>
      <c r="L364" s="347">
        <f>IF($C364&lt;=ROUNDUP('B. Implementation Plan'!P155,0),ROUND(IF(AND($C364-'B. Implementation Plan'!P155&lt;1,$C364-'B. Implementation Plan'!P155&gt;0),MOD('B. Implementation Plan'!P155,1)*(E323+F323)*(1-'B. Implementation Plan'!P149)*'B. Implementation Plan'!P152*'B. Implementation Plan'!P153*(1-'B. Implementation Plan'!P147)^($C364-1),(E323+F323)*(1-'B. Implementation Plan'!P149)*'B. Implementation Plan'!P152*'B. Implementation Plan'!P153*(1-'B. Implementation Plan'!P147)^($C364-1)),0),0)</f>
        <v>0</v>
      </c>
      <c r="M364" s="347">
        <f>IF($C364&lt;=ROUNDUP('B. Implementation Plan'!P155,0),ROUND(IF(AND($C364-'B. Implementation Plan'!P155&lt;1,$C364-'B. Implementation Plan'!P155&gt;0),MOD('B. Implementation Plan'!P155,1)*G323*(1-'B. Implementation Plan'!P149)*'B. Implementation Plan'!P152*'B. Implementation Plan'!P153*(1-'B. Implementation Plan'!P147)^($C364-1),G323*(1-'B. Implementation Plan'!P149)*'B. Implementation Plan'!P152*'B. Implementation Plan'!P153*(1-'B. Implementation Plan'!P147)^($C364-1)),0),0)</f>
        <v>0</v>
      </c>
      <c r="N364" s="347">
        <f>IF($C364&lt;=ROUNDUP('B. Implementation Plan'!P155,0),ROUND(IF(AND($C364-'B. Implementation Plan'!P155&lt;1,$C364-'B. Implementation Plan'!P155&gt;0),MOD('B. Implementation Plan'!P155,1)*H323*(1-'B. Implementation Plan'!P149)*'B. Implementation Plan'!P152*'B. Implementation Plan'!P153*(1-'B. Implementation Plan'!P147)^($C364-1),H323*(1-'B. Implementation Plan'!P149)*'B. Implementation Plan'!P152*'B. Implementation Plan'!P153*(1-'B. Implementation Plan'!P147)^($C364-1)),0),0)</f>
        <v>0</v>
      </c>
      <c r="O364" s="347">
        <f>IF($C364&lt;=ROUNDUP('B. Implementation Plan'!P155,0),ROUND(IF(AND($C364-'B. Implementation Plan'!P155&lt;1,$C364-'B. Implementation Plan'!P155&gt;0),MOD('B. Implementation Plan'!P155,1)*I323*(1-'B. Implementation Plan'!P149)*'B. Implementation Plan'!P152*'B. Implementation Plan'!P153*(1-'B. Implementation Plan'!P147)^($C364-1),I323*(1-'B. Implementation Plan'!P149)*'B. Implementation Plan'!P152*'B. Implementation Plan'!P153*(1-'B. Implementation Plan'!P147)^($C364-1)),0),0)</f>
        <v>0</v>
      </c>
      <c r="P364" s="78" t="str">
        <f t="shared" si="307"/>
        <v/>
      </c>
    </row>
    <row r="365" spans="3:16" s="365" customFormat="1" x14ac:dyDescent="0.3">
      <c r="C365" s="370">
        <v>8</v>
      </c>
      <c r="E365"/>
      <c r="F365"/>
      <c r="G365"/>
      <c r="H365"/>
      <c r="I365"/>
      <c r="J365"/>
      <c r="K365"/>
      <c r="L365"/>
      <c r="M365" s="347">
        <f>IF($C365&lt;=ROUNDUP('B. Implementation Plan'!P155,0),ROUND(IF(AND($C365-'B. Implementation Plan'!P155&lt;1,$C365-'B. Implementation Plan'!P155&gt;0),MOD('B. Implementation Plan'!P155,1)*(E323+F323)*(1-'B. Implementation Plan'!P149)*'B. Implementation Plan'!P152*'B. Implementation Plan'!P153*(1-'B. Implementation Plan'!P147)^($C365-1),(E323+F323)*(1-'B. Implementation Plan'!P149)*'B. Implementation Plan'!P152*'B. Implementation Plan'!P153*(1-'B. Implementation Plan'!P147)^($C365-1)),0),0)</f>
        <v>0</v>
      </c>
      <c r="N365" s="347">
        <f>IF($C365&lt;=ROUNDUP('B. Implementation Plan'!P155,0),ROUND(IF(AND($C365-'B. Implementation Plan'!P155&lt;1,$C365-'B. Implementation Plan'!P155&gt;0),MOD('B. Implementation Plan'!P155,1)*G323*(1-'B. Implementation Plan'!P149)*'B. Implementation Plan'!P152*'B. Implementation Plan'!P153*(1-'B. Implementation Plan'!P147)^($C365-1),G323*(1-'B. Implementation Plan'!P149)*'B. Implementation Plan'!P152*'B. Implementation Plan'!P153*(1-'B. Implementation Plan'!P147)^($C365-1)),0),0)</f>
        <v>0</v>
      </c>
      <c r="O365" s="347">
        <f>IF($C365&lt;=ROUNDUP('B. Implementation Plan'!P155,0),ROUND(IF(AND($C365-'B. Implementation Plan'!P155&lt;1,$C365-'B. Implementation Plan'!P155&gt;0),MOD('B. Implementation Plan'!P155,1)*H323*(1-'B. Implementation Plan'!P149)*'B. Implementation Plan'!P152*'B. Implementation Plan'!P153*(1-'B. Implementation Plan'!P147)^($C365-1),H323*(1-'B. Implementation Plan'!P149)*'B. Implementation Plan'!P152*'B. Implementation Plan'!P153*(1-'B. Implementation Plan'!P147)^($C365-1)),0),0)</f>
        <v>0</v>
      </c>
      <c r="P365" s="78" t="str">
        <f t="shared" si="307"/>
        <v/>
      </c>
    </row>
    <row r="366" spans="3:16" s="365" customFormat="1" x14ac:dyDescent="0.3">
      <c r="C366" s="370">
        <v>9</v>
      </c>
      <c r="E366"/>
      <c r="F366"/>
      <c r="G366"/>
      <c r="H366"/>
      <c r="I366"/>
      <c r="J366"/>
      <c r="K366"/>
      <c r="L366"/>
      <c r="M366"/>
      <c r="N366" s="347">
        <f>IF($C366&lt;=ROUNDUP('B. Implementation Plan'!P155,0),ROUND(IF(AND($C366-'B. Implementation Plan'!P155&lt;1,$C366-'B. Implementation Plan'!P155&gt;0),MOD('B. Implementation Plan'!P155,1)*(E323+F323)*(1-'B. Implementation Plan'!P149)*'B. Implementation Plan'!P152*'B. Implementation Plan'!P153*(1-'B. Implementation Plan'!P147)^($C366-1),(E323+F323)*(1-'B. Implementation Plan'!P149)*'B. Implementation Plan'!P152*'B. Implementation Plan'!P153*(1-'B. Implementation Plan'!P147)^($C366-1)),0),0)</f>
        <v>0</v>
      </c>
      <c r="O366" s="347">
        <f>IF($C366&lt;=ROUNDUP('B. Implementation Plan'!P155,0),ROUND(IF(AND($C366-'B. Implementation Plan'!P155&lt;1,$C366-'B. Implementation Plan'!P155&gt;0),MOD('B. Implementation Plan'!P155,1)*G323*(1-'B. Implementation Plan'!P149)*'B. Implementation Plan'!P152*'B. Implementation Plan'!P153*(1-'B. Implementation Plan'!P147)^($C366-1),G323*(1-'B. Implementation Plan'!P149)*'B. Implementation Plan'!P152*'B. Implementation Plan'!P153*(1-'B. Implementation Plan'!P147)^($C366-1)),0),0)</f>
        <v>0</v>
      </c>
      <c r="P366" s="78" t="str">
        <f t="shared" si="307"/>
        <v/>
      </c>
    </row>
    <row r="367" spans="3:16" s="365" customFormat="1" x14ac:dyDescent="0.3">
      <c r="C367" s="370">
        <v>10</v>
      </c>
      <c r="E367"/>
      <c r="F367"/>
      <c r="G367"/>
      <c r="H367"/>
      <c r="I367"/>
      <c r="J367"/>
      <c r="K367"/>
      <c r="L367"/>
      <c r="M367"/>
      <c r="N367" s="19"/>
      <c r="O367" s="347">
        <f>IF($C367&lt;=ROUNDUP('B. Implementation Plan'!P155,0),ROUND(IF(AND($C367-'B. Implementation Plan'!P155&lt;1,$C367-'B. Implementation Plan'!P155&gt;0),MOD('B. Implementation Plan'!P155,1)*(E323+F323)*(1-'B. Implementation Plan'!P149)*'B. Implementation Plan'!P152*'B. Implementation Plan'!P153*(1-'B. Implementation Plan'!P147)^($C367-1),(E323+F323)*(1-'B. Implementation Plan'!P149)*'B. Implementation Plan'!P152*'B. Implementation Plan'!P153*(1-'B. Implementation Plan'!P147)^($C367-1)),0),0)</f>
        <v>0</v>
      </c>
      <c r="P367" s="78" t="str">
        <f t="shared" si="307"/>
        <v/>
      </c>
    </row>
    <row r="368" spans="3:16" s="1" customFormat="1" x14ac:dyDescent="0.3">
      <c r="C368" s="376" t="s">
        <v>482</v>
      </c>
      <c r="E368"/>
      <c r="F368" s="371">
        <f t="shared" ref="F368:O368" ca="1" si="308">IF(F318&gt;0,SUM(F358:F367),0)</f>
        <v>0</v>
      </c>
      <c r="G368" s="371">
        <f t="shared" ca="1" si="308"/>
        <v>0</v>
      </c>
      <c r="H368" s="371">
        <f t="shared" ca="1" si="308"/>
        <v>0</v>
      </c>
      <c r="I368" s="371">
        <f t="shared" ca="1" si="308"/>
        <v>0</v>
      </c>
      <c r="J368" s="371">
        <f t="shared" ca="1" si="308"/>
        <v>0</v>
      </c>
      <c r="K368" s="371">
        <f t="shared" ca="1" si="308"/>
        <v>0</v>
      </c>
      <c r="L368" s="371">
        <f t="shared" ca="1" si="308"/>
        <v>0</v>
      </c>
      <c r="M368" s="371">
        <f t="shared" ca="1" si="308"/>
        <v>0</v>
      </c>
      <c r="N368" s="371">
        <f t="shared" ca="1" si="308"/>
        <v>0</v>
      </c>
      <c r="O368" s="371">
        <f t="shared" ca="1" si="308"/>
        <v>0</v>
      </c>
      <c r="P368" s="325">
        <f ca="1">SUM(E368:O368)</f>
        <v>0</v>
      </c>
    </row>
    <row r="369" spans="3:16" s="1" customFormat="1" x14ac:dyDescent="0.3">
      <c r="C369" s="353" t="s">
        <v>469</v>
      </c>
      <c r="E369"/>
      <c r="F369" s="324">
        <f ca="1">MIN(IFERROR(ROUNDUP(IF(F318&gt;0,INDEX(F358:F367,MATCH(9.99999999999999E+307,P358:P367))/IF(MOD('B. Implementation Plan'!P155,1)=0,1,MOD('B. Implementation Plan'!P155,1)),0),0),0),MAX(E358:E367))</f>
        <v>0</v>
      </c>
      <c r="G369" s="324">
        <f ca="1">MIN(IFERROR(ROUNDUP(IF(G318&gt;0,INDEX(G358:G367,MATCH(9.99999999999999E+307,P358:P367))/IF(MOD('B. Implementation Plan'!P155,1)=0,1,MOD('B. Implementation Plan'!P155,1)),0),0),0),MAX(E358:F367))</f>
        <v>0</v>
      </c>
      <c r="H369" s="324">
        <f ca="1">MIN(IFERROR(ROUNDUP(IF(H318&gt;0,INDEX(H358:H367,MATCH(9.99999999999999E+307,P358:P367))/IF(MOD('B. Implementation Plan'!P155,1)=0,1,MOD('B. Implementation Plan'!P155,1)),0),0),0),MAX(E358:G367))</f>
        <v>0</v>
      </c>
      <c r="I369" s="324">
        <f ca="1">MIN(IFERROR(ROUNDUP(IF(I318&gt;0,INDEX(I358:I367,MATCH(9.99999999999999E+307,P358:P367))/IF(MOD('B. Implementation Plan'!P155,1)=0,1,MOD('B. Implementation Plan'!P155,1)),0),0),0),MAX(E358:H367))</f>
        <v>0</v>
      </c>
      <c r="J369" s="324">
        <f ca="1">MIN(IFERROR(ROUNDUP(IF(J318&gt;0,INDEX(J358:J367,MATCH(9.99999999999999E+307,P358:P367))/IF(MOD('B. Implementation Plan'!P155,1)=0,1,MOD('B. Implementation Plan'!P155,1)),0),0),0),MAX(E358:I367))</f>
        <v>0</v>
      </c>
      <c r="K369" s="324">
        <f ca="1">MIN(IFERROR(ROUNDUP(IF(K318&gt;0,INDEX(K358:K367,MATCH(9.99999999999999E+307,P358:P367))/IF(MOD('B. Implementation Plan'!P155,1)=0,1,MOD('B. Implementation Plan'!P155,1)),0),0),0),MAX(E358:J367))</f>
        <v>0</v>
      </c>
      <c r="L369" s="324">
        <f ca="1">MIN(IFERROR(ROUNDUP(IF(L318&gt;0,INDEX(L358:L367,MATCH(9.99999999999999E+307,P358:P367))/IF(MOD('B. Implementation Plan'!P155,1)=0,1,MOD('B. Implementation Plan'!P155,1)),0),0),0),MAX(E358:K367))</f>
        <v>0</v>
      </c>
      <c r="M369" s="324">
        <f ca="1">MIN(IFERROR(ROUNDUP(IF(M318&gt;0,INDEX(M358:M367,MATCH(9.99999999999999E+307,P358:P367))/IF(MOD('B. Implementation Plan'!P155,1)=0,1,MOD('B. Implementation Plan'!P155,1)),0),0),0),MAX(E358:L367))</f>
        <v>0</v>
      </c>
      <c r="N369" s="324">
        <f ca="1">MIN(IFERROR(ROUNDUP(IF(N318&gt;0,INDEX(N358:N367,MATCH(9.99999999999999E+307,P358:P367))/IF(MOD('B. Implementation Plan'!P155,1)=0,1,MOD('B. Implementation Plan'!P155,1)),0),0),0),MAX(E358:M367))</f>
        <v>0</v>
      </c>
      <c r="O369" s="324">
        <f ca="1">MIN(IFERROR(ROUNDUP(IF(O318&gt;0,INDEX(O358:O367,MATCH(9.99999999999999E+307,P358:P367))/IF(MOD('B. Implementation Plan'!P155,1)=0,1,MOD('B. Implementation Plan'!P155,1)),0),0),0),MAX(E358:N367))</f>
        <v>0</v>
      </c>
      <c r="P369" s="325">
        <f ca="1">SUM(E369:O369)</f>
        <v>0</v>
      </c>
    </row>
    <row r="370" spans="3:16" s="365" customFormat="1" x14ac:dyDescent="0.3">
      <c r="C370" s="326" t="s">
        <v>470</v>
      </c>
      <c r="E370"/>
      <c r="F370" s="347">
        <f ca="1">ROUNDUP(IF(F318&gt;0,IF(SUM(E369:F369,E370:E370)*'B. Implementation Plan'!P147&gt;P369,0,-ROUND(SUM(E369:F369,E370:E370)*'B. Implementation Plan'!P147,0)),0),0)</f>
        <v>0</v>
      </c>
      <c r="G370" s="347">
        <f ca="1">ROUNDUP(IF(G318&gt;0,IF(SUM(E369:G369,E370:F370)*'B. Implementation Plan'!P147&gt;P369,0,-ROUND(SUM(E369:G369,E370:F370)*'B. Implementation Plan'!P147,0)),0),0)</f>
        <v>0</v>
      </c>
      <c r="H370" s="347">
        <f ca="1">ROUNDUP(IF(H318&gt;0,IF(SUM(E369:H369,E370:G370)*'B. Implementation Plan'!P147&gt;P369,0,-ROUND(SUM(E369:H369,E370:G370)*'B. Implementation Plan'!P147,0)),0),0)</f>
        <v>0</v>
      </c>
      <c r="I370" s="347">
        <f ca="1">ROUNDUP(IF(I318&gt;0,IF(SUM(E369:I369,E370:H370)*'B. Implementation Plan'!P147&gt;P369,0,-ROUND(SUM(E369:I369,E370:H370)*'B. Implementation Plan'!P147,0)),0),0)</f>
        <v>0</v>
      </c>
      <c r="J370" s="347">
        <f ca="1">ROUNDUP(IF(J318&gt;0,IF(SUM(E369:J369,E370:I370)*'B. Implementation Plan'!P147&gt;P369,0,-ROUND(SUM(E369:J369,E370:I370)*'B. Implementation Plan'!P147,0)),0),0)</f>
        <v>0</v>
      </c>
      <c r="K370" s="347">
        <f ca="1">ROUNDUP(IF(K318&gt;0,IF(SUM(E369:K369,E370:J370)*'B. Implementation Plan'!P147&gt;P369,0,-ROUND(SUM(E369:K369,E370:J370)*'B. Implementation Plan'!P147,0)),0),0)</f>
        <v>0</v>
      </c>
      <c r="L370" s="347">
        <f ca="1">ROUNDUP(IF(L318&gt;0,IF(SUM(E369:L369,E370:K370)*'B. Implementation Plan'!P147&gt;P369,0,-ROUND(SUM(E369:L369,E370:K370)*'B. Implementation Plan'!P147,0)),0),0)</f>
        <v>0</v>
      </c>
      <c r="M370" s="347">
        <f ca="1">ROUNDUP(IF(M318&gt;0,IF(SUM(E369:M369,E370:L370)*'B. Implementation Plan'!P147&gt;P369,0,-ROUND(SUM(E369:M369,E370:L370)*'B. Implementation Plan'!P147,0)),0),0)</f>
        <v>0</v>
      </c>
      <c r="N370" s="347">
        <f ca="1">ROUNDUP(IF(N318&gt;0,IF(SUM(E369:N369,E370:M370)*'B. Implementation Plan'!P147&gt;P369,0,-ROUND(SUM(E369:N369,E370:M370)*'B. Implementation Plan'!P147,0)),0),0)</f>
        <v>0</v>
      </c>
      <c r="O370" s="347">
        <f ca="1">ROUNDUP(IF(O318&gt;0,IF(SUM(E369:O369,E370:N370)*'B. Implementation Plan'!P147&gt;P369,0,-ROUND(SUM(E369:O369,E370:N370)*'B. Implementation Plan'!P147,0)),0),0)</f>
        <v>0</v>
      </c>
      <c r="P370" s="354">
        <f ca="1">SUM(E370:O370)</f>
        <v>0</v>
      </c>
    </row>
    <row r="371" spans="3:16" s="365" customFormat="1" ht="15" thickBot="1" x14ac:dyDescent="0.35">
      <c r="C371" s="326" t="s">
        <v>471</v>
      </c>
      <c r="E371"/>
      <c r="F371" s="347">
        <f ca="1">IF(F318&gt;0,SUM(E369:F370),0)</f>
        <v>0</v>
      </c>
      <c r="G371" s="347">
        <f ca="1">IF(G318&gt;0,SUM(E369:G370),0)</f>
        <v>0</v>
      </c>
      <c r="H371" s="347">
        <f ca="1">IF(H318&gt;0,SUM(E369:H370),0)</f>
        <v>0</v>
      </c>
      <c r="I371" s="347">
        <f ca="1">IF(I318&gt;0,SUM(E369:I370),0)</f>
        <v>0</v>
      </c>
      <c r="J371" s="347">
        <f ca="1">IF(J318&gt;0,SUM(E369:J370),0)</f>
        <v>0</v>
      </c>
      <c r="K371" s="347">
        <f ca="1">IF(K318&gt;0,SUM(E369:K370),0)</f>
        <v>0</v>
      </c>
      <c r="L371" s="347">
        <f ca="1">IF(L318&gt;0,SUM(E369:L370),0)</f>
        <v>0</v>
      </c>
      <c r="M371" s="347">
        <f ca="1">IF(M318&gt;0,SUM(E369:M370),0)</f>
        <v>0</v>
      </c>
      <c r="N371" s="347">
        <f ca="1">IF(N318&gt;0,SUM(E369:N370),0)</f>
        <v>0</v>
      </c>
      <c r="O371" s="369">
        <f ca="1">IF(O318&gt;0,SUM(E369:O370),0)</f>
        <v>0</v>
      </c>
      <c r="P371" s="375">
        <f t="shared" ref="P371" ca="1" si="309">IF(O371=0,IF(N371=0,IF(M371=0,IF(L371=0,IF(K371=0,IF(J371=0,IF(I371=0,IF(H371=0,IF(G371=0,IF(F371=0,E371,F371),G371),H371),I371),J371),K371),L371),M371),N371),O371)</f>
        <v>0</v>
      </c>
    </row>
    <row r="372" spans="3:16" ht="15" thickBot="1" x14ac:dyDescent="0.35">
      <c r="C372" s="59" t="s">
        <v>467</v>
      </c>
    </row>
    <row r="373" spans="3:16" ht="15.6" x14ac:dyDescent="0.3">
      <c r="C373" s="326" t="s">
        <v>468</v>
      </c>
      <c r="F373" s="149">
        <v>1</v>
      </c>
      <c r="G373" s="149">
        <v>2</v>
      </c>
      <c r="H373" s="149">
        <v>3</v>
      </c>
      <c r="I373" s="149">
        <v>4</v>
      </c>
      <c r="J373" s="149">
        <v>5</v>
      </c>
      <c r="K373" s="149">
        <v>6</v>
      </c>
      <c r="L373" s="149">
        <v>7</v>
      </c>
      <c r="M373" s="149">
        <v>8</v>
      </c>
      <c r="N373" s="149">
        <v>9</v>
      </c>
      <c r="O373" s="374">
        <v>10</v>
      </c>
      <c r="P373" s="351" t="s">
        <v>2</v>
      </c>
    </row>
    <row r="374" spans="3:16" s="365" customFormat="1" x14ac:dyDescent="0.3">
      <c r="C374" s="370">
        <v>1</v>
      </c>
      <c r="E374"/>
      <c r="F374" s="347">
        <f ca="1">IF($C374&lt;=ROUNDUP('B. Implementation Plan'!P156,0),ROUND(IF(AND($C374-'B. Implementation Plan'!P156&lt;1,$C374-'B. Implementation Plan'!P156&gt;0),MOD('B. Implementation Plan'!P156,1)*(E323+F323)*(1-'B. Implementation Plan'!P149)*'B. Implementation Plan'!P152*'B. Implementation Plan'!P154*(1-'B. Implementation Plan'!P147)^($C374-1),(E323+F323)*(1-'B. Implementation Plan'!P149)*'B. Implementation Plan'!P152*'B. Implementation Plan'!P154*(1-'B. Implementation Plan'!P147)^($C374-1)),0),0)</f>
        <v>0</v>
      </c>
      <c r="G374" s="347">
        <f ca="1">IF($C374&lt;=ROUNDUP('B. Implementation Plan'!P156,0),ROUND(IF(AND($C374-'B. Implementation Plan'!P156&lt;1,$C374-'B. Implementation Plan'!P156&gt;0),MOD('B. Implementation Plan'!P156,1)*G323*(1-'B. Implementation Plan'!P149)*'B. Implementation Plan'!P152*'B. Implementation Plan'!P154*(1-'B. Implementation Plan'!P147)^($C374-1),G323*(1-'B. Implementation Plan'!P149)*'B. Implementation Plan'!P152*'B. Implementation Plan'!P154*(1-'B. Implementation Plan'!P147)^($C374-1)),0),0)</f>
        <v>0</v>
      </c>
      <c r="H374" s="347">
        <f ca="1">IF($C374&lt;=ROUNDUP('B. Implementation Plan'!P156,0),ROUND(IF(AND($C374-'B. Implementation Plan'!P156&lt;1,$C374-'B. Implementation Plan'!P156&gt;0),MOD('B. Implementation Plan'!P156,1)*H323*(1-'B. Implementation Plan'!P149)*'B. Implementation Plan'!P152*'B. Implementation Plan'!P154*(1-'B. Implementation Plan'!P147)^($C374-1),H323*(1-'B. Implementation Plan'!P149)*'B. Implementation Plan'!P152*'B. Implementation Plan'!P154*(1-'B. Implementation Plan'!P147)^($C374-1)),0),0)</f>
        <v>0</v>
      </c>
      <c r="I374" s="347">
        <f ca="1">IF($C374&lt;=ROUNDUP('B. Implementation Plan'!P156,0),ROUND(IF(AND($C374-'B. Implementation Plan'!P156&lt;1,$C374-'B. Implementation Plan'!P156&gt;0),MOD('B. Implementation Plan'!P156,1)*I323*(1-'B. Implementation Plan'!P149)*'B. Implementation Plan'!P152*'B. Implementation Plan'!P154*(1-'B. Implementation Plan'!P147)^($C374-1),I323*(1-'B. Implementation Plan'!P149)*'B. Implementation Plan'!P152*'B. Implementation Plan'!P154*(1-'B. Implementation Plan'!P147)^($C374-1)),0),0)</f>
        <v>0</v>
      </c>
      <c r="J374" s="347">
        <f ca="1">IF($C374&lt;=ROUNDUP('B. Implementation Plan'!P156,0),ROUND(IF(AND($C374-'B. Implementation Plan'!P156&lt;1,$C374-'B. Implementation Plan'!P156&gt;0),MOD('B. Implementation Plan'!P156,1)*J323*(1-'B. Implementation Plan'!P149)*'B. Implementation Plan'!P152*'B. Implementation Plan'!P154*(1-'B. Implementation Plan'!P147)^($C374-1),J323*(1-'B. Implementation Plan'!P149)*'B. Implementation Plan'!P152*'B. Implementation Plan'!P154*(1-'B. Implementation Plan'!P147)^($C374-1)),0),0)</f>
        <v>0</v>
      </c>
      <c r="K374" s="347">
        <f ca="1">IF($C374&lt;=ROUNDUP('B. Implementation Plan'!P156,0),ROUND(IF(AND($C374-'B. Implementation Plan'!P156&lt;1,$C374-'B. Implementation Plan'!P156&gt;0),MOD('B. Implementation Plan'!P156,1)*K323*(1-'B. Implementation Plan'!P149)*'B. Implementation Plan'!P152*'B. Implementation Plan'!P154*(1-'B. Implementation Plan'!P147)^($C374-1),K323*(1-'B. Implementation Plan'!P149)*'B. Implementation Plan'!P152*'B. Implementation Plan'!P154*(1-'B. Implementation Plan'!P147)^($C374-1)),0),0)</f>
        <v>0</v>
      </c>
      <c r="L374" s="347">
        <f ca="1">IF($C374&lt;=ROUNDUP('B. Implementation Plan'!P156,0),ROUND(IF(AND($C374-'B. Implementation Plan'!P156&lt;1,$C374-'B. Implementation Plan'!P156&gt;0),MOD('B. Implementation Plan'!P156,1)*L323*(1-'B. Implementation Plan'!P149)*'B. Implementation Plan'!P152*'B. Implementation Plan'!P154*(1-'B. Implementation Plan'!P147)^($C374-1),L323*(1-'B. Implementation Plan'!P149)*'B. Implementation Plan'!P152*'B. Implementation Plan'!P154*(1-'B. Implementation Plan'!P147)^($C374-1)),0),0)</f>
        <v>0</v>
      </c>
      <c r="M374" s="347">
        <f ca="1">IF($C374&lt;=ROUNDUP('B. Implementation Plan'!P156,0),ROUND(IF(AND($C374-'B. Implementation Plan'!P156&lt;1,$C374-'B. Implementation Plan'!P156&gt;0),MOD('B. Implementation Plan'!P156,1)*M323*(1-'B. Implementation Plan'!P149)*'B. Implementation Plan'!P152*'B. Implementation Plan'!P154*(1-'B. Implementation Plan'!P147)^($C374-1),M323*(1-'B. Implementation Plan'!P149)*'B. Implementation Plan'!P152*'B. Implementation Plan'!P154*(1-'B. Implementation Plan'!P147)^($C374-1)),0),0)</f>
        <v>0</v>
      </c>
      <c r="N374" s="347">
        <f ca="1">IF($C374&lt;=ROUNDUP('B. Implementation Plan'!P156,0),ROUND(IF(AND($C374-'B. Implementation Plan'!P156&lt;1,$C374-'B. Implementation Plan'!P156&gt;0),MOD('B. Implementation Plan'!P156,1)*N323*(1-'B. Implementation Plan'!P149)*'B. Implementation Plan'!P152*'B. Implementation Plan'!P154*(1-'B. Implementation Plan'!P147)^($C374-1),N323*(1-'B. Implementation Plan'!P149)*'B. Implementation Plan'!P152*'B. Implementation Plan'!P154*(1-'B. Implementation Plan'!P147)^($C374-1)),0),0)</f>
        <v>0</v>
      </c>
      <c r="O374" s="347">
        <f ca="1">IF($C374&lt;=ROUNDUP('B. Implementation Plan'!P156,0),ROUND(IF(AND($C374-'B. Implementation Plan'!P156&lt;1,$C374-'B. Implementation Plan'!P156&gt;0),MOD('B. Implementation Plan'!P156,1)*O323*(1-'B. Implementation Plan'!P149)*'B. Implementation Plan'!P152*'B. Implementation Plan'!P154*(1-'B. Implementation Plan'!P147)^($C374-1),O323*(1-'B. Implementation Plan'!P149)*'B. Implementation Plan'!P152*'B. Implementation Plan'!P154*(1-'B. Implementation Plan'!P147)^($C374-1)),0),0)</f>
        <v>0</v>
      </c>
      <c r="P374" s="78" t="str">
        <f ca="1">IF(SUM(F374:O374)&gt;0,SUM(F374:O374),"")</f>
        <v/>
      </c>
    </row>
    <row r="375" spans="3:16" s="365" customFormat="1" x14ac:dyDescent="0.3">
      <c r="C375" s="370">
        <v>2</v>
      </c>
      <c r="E375"/>
      <c r="F375"/>
      <c r="G375" s="347">
        <f ca="1">IF($C375&lt;=ROUNDUP('B. Implementation Plan'!P156,0),ROUND(IF(AND($C375-'B. Implementation Plan'!P156&lt;1,$C375-'B. Implementation Plan'!P156&gt;0),MOD('B. Implementation Plan'!P156,1)*(E323+F323)*(1-'B. Implementation Plan'!P149)*'B. Implementation Plan'!P152*'B. Implementation Plan'!P154*(1-'B. Implementation Plan'!P147)^($C375-1),(E323+F323)*(1-'B. Implementation Plan'!P149)*'B. Implementation Plan'!P152*'B. Implementation Plan'!P154*(1-'B. Implementation Plan'!P147)^($C375-1)),0),0)</f>
        <v>0</v>
      </c>
      <c r="H375" s="347">
        <f ca="1">IF($C375&lt;=ROUNDUP('B. Implementation Plan'!P156,0),ROUND(IF(AND($C375-'B. Implementation Plan'!P156&lt;1,$C375-'B. Implementation Plan'!P156&gt;0),MOD('B. Implementation Plan'!P156,1)*G323*(1-'B. Implementation Plan'!P149)*'B. Implementation Plan'!P152*'B. Implementation Plan'!P154*(1-'B. Implementation Plan'!P147)^($C375-1),G323*(1-'B. Implementation Plan'!P149)*'B. Implementation Plan'!P152*'B. Implementation Plan'!P154*(1-'B. Implementation Plan'!P147)^($C375-1)),0),0)</f>
        <v>0</v>
      </c>
      <c r="I375" s="347">
        <f ca="1">IF($C375&lt;=ROUNDUP('B. Implementation Plan'!P156,0),ROUND(IF(AND($C375-'B. Implementation Plan'!P156&lt;1,$C375-'B. Implementation Plan'!P156&gt;0),MOD('B. Implementation Plan'!P156,1)*H323*(1-'B. Implementation Plan'!P149)*'B. Implementation Plan'!P152*'B. Implementation Plan'!P154*(1-'B. Implementation Plan'!P147)^($C375-1),H323*(1-'B. Implementation Plan'!P149)*'B. Implementation Plan'!P152*'B. Implementation Plan'!P154*(1-'B. Implementation Plan'!P147)^($C375-1)),0),0)</f>
        <v>0</v>
      </c>
      <c r="J375" s="347">
        <f ca="1">IF($C375&lt;=ROUNDUP('B. Implementation Plan'!P156,0),ROUND(IF(AND($C375-'B. Implementation Plan'!P156&lt;1,$C375-'B. Implementation Plan'!P156&gt;0),MOD('B. Implementation Plan'!P156,1)*I323*(1-'B. Implementation Plan'!P149)*'B. Implementation Plan'!P152*'B. Implementation Plan'!P154*(1-'B. Implementation Plan'!P147)^($C375-1),I323*(1-'B. Implementation Plan'!P149)*'B. Implementation Plan'!P152*'B. Implementation Plan'!P154*(1-'B. Implementation Plan'!P147)^($C375-1)),0),0)</f>
        <v>0</v>
      </c>
      <c r="K375" s="347">
        <f ca="1">IF($C375&lt;=ROUNDUP('B. Implementation Plan'!P156,0),ROUND(IF(AND($C375-'B. Implementation Plan'!P156&lt;1,$C375-'B. Implementation Plan'!P156&gt;0),MOD('B. Implementation Plan'!P156,1)*J323*(1-'B. Implementation Plan'!P149)*'B. Implementation Plan'!P152*'B. Implementation Plan'!P154*(1-'B. Implementation Plan'!P147)^($C375-1),J323*(1-'B. Implementation Plan'!P149)*'B. Implementation Plan'!P152*'B. Implementation Plan'!P154*(1-'B. Implementation Plan'!P147)^($C375-1)),0),0)</f>
        <v>0</v>
      </c>
      <c r="L375" s="347">
        <f ca="1">IF($C375&lt;=ROUNDUP('B. Implementation Plan'!P156,0),ROUND(IF(AND($C375-'B. Implementation Plan'!P156&lt;1,$C375-'B. Implementation Plan'!P156&gt;0),MOD('B. Implementation Plan'!P156,1)*K323*(1-'B. Implementation Plan'!P149)*'B. Implementation Plan'!P152*'B. Implementation Plan'!P154*(1-'B. Implementation Plan'!P147)^($C375-1),K323*(1-'B. Implementation Plan'!P149)*'B. Implementation Plan'!P152*'B. Implementation Plan'!P154*(1-'B. Implementation Plan'!P147)^($C375-1)),0),0)</f>
        <v>0</v>
      </c>
      <c r="M375" s="347">
        <f ca="1">IF($C375&lt;=ROUNDUP('B. Implementation Plan'!P156,0),ROUND(IF(AND($C375-'B. Implementation Plan'!P156&lt;1,$C375-'B. Implementation Plan'!P156&gt;0),MOD('B. Implementation Plan'!P156,1)*L323*(1-'B. Implementation Plan'!P149)*'B. Implementation Plan'!P152*'B. Implementation Plan'!P154*(1-'B. Implementation Plan'!P147)^($C375-1),L323*(1-'B. Implementation Plan'!P149)*'B. Implementation Plan'!P152*'B. Implementation Plan'!P154*(1-'B. Implementation Plan'!P147)^($C375-1)),0),0)</f>
        <v>0</v>
      </c>
      <c r="N375" s="347">
        <f ca="1">IF($C375&lt;=ROUNDUP('B. Implementation Plan'!P156,0),ROUND(IF(AND($C375-'B. Implementation Plan'!P156&lt;1,$C375-'B. Implementation Plan'!P156&gt;0),MOD('B. Implementation Plan'!P156,1)*M323*(1-'B. Implementation Plan'!P149)*'B. Implementation Plan'!P152*'B. Implementation Plan'!P154*(1-'B. Implementation Plan'!P147)^($C375-1),M323*(1-'B. Implementation Plan'!P149)*'B. Implementation Plan'!P152*'B. Implementation Plan'!P154*(1-'B. Implementation Plan'!P147)^($C375-1)),0),0)</f>
        <v>0</v>
      </c>
      <c r="O375" s="347">
        <f ca="1">IF($C375&lt;=ROUNDUP('B. Implementation Plan'!P156,0),ROUND(IF(AND($C375-'B. Implementation Plan'!P156&lt;1,$C375-'B. Implementation Plan'!P156&gt;0),MOD('B. Implementation Plan'!P156,1)*N323*(1-'B. Implementation Plan'!P149)*'B. Implementation Plan'!P152*'B. Implementation Plan'!P154*(1-'B. Implementation Plan'!P147)^($C375-1),N323*(1-'B. Implementation Plan'!P149)*'B. Implementation Plan'!P152*'B. Implementation Plan'!P154*(1-'B. Implementation Plan'!P147)^($C375-1)),0),0)</f>
        <v>0</v>
      </c>
      <c r="P375" s="78" t="str">
        <f t="shared" ref="P375:P383" ca="1" si="310">IF(SUM(F375:O375)&gt;0,SUM(F375:O375),"")</f>
        <v/>
      </c>
    </row>
    <row r="376" spans="3:16" s="365" customFormat="1" x14ac:dyDescent="0.3">
      <c r="C376" s="370">
        <v>3</v>
      </c>
      <c r="E376"/>
      <c r="F376"/>
      <c r="G376"/>
      <c r="H376" s="347">
        <f ca="1">IF($C376&lt;=ROUNDUP('B. Implementation Plan'!P156,0),ROUND(IF(AND($C376-'B. Implementation Plan'!P156&lt;1,$C376-'B. Implementation Plan'!P156&gt;0),MOD('B. Implementation Plan'!P156,1)*(E323+F323)*(1-'B. Implementation Plan'!P149)*'B. Implementation Plan'!P152*'B. Implementation Plan'!P154*(1-'B. Implementation Plan'!P147)^($C376-1),(E323+F323)*(1-'B. Implementation Plan'!P149)*'B. Implementation Plan'!P152*'B. Implementation Plan'!P154*(1-'B. Implementation Plan'!P147)^($C376-1)),0),0)</f>
        <v>0</v>
      </c>
      <c r="I376" s="347">
        <f ca="1">IF($C376&lt;=ROUNDUP('B. Implementation Plan'!P156,0),ROUND(IF(AND($C376-'B. Implementation Plan'!P156&lt;1,$C376-'B. Implementation Plan'!P156&gt;0),MOD('B. Implementation Plan'!P156,1)*G323*(1-'B. Implementation Plan'!P149)*'B. Implementation Plan'!P152*'B. Implementation Plan'!P154*(1-'B. Implementation Plan'!P147)^($C376-1),G323*(1-'B. Implementation Plan'!P149)*'B. Implementation Plan'!P152*'B. Implementation Plan'!P154*(1-'B. Implementation Plan'!P147)^($C376-1)),0),0)</f>
        <v>0</v>
      </c>
      <c r="J376" s="347">
        <f ca="1">IF($C376&lt;=ROUNDUP('B. Implementation Plan'!P156,0),ROUND(IF(AND($C376-'B. Implementation Plan'!P156&lt;1,$C376-'B. Implementation Plan'!P156&gt;0),MOD('B. Implementation Plan'!P156,1)*H323*(1-'B. Implementation Plan'!P149)*'B. Implementation Plan'!P152*'B. Implementation Plan'!P154*(1-'B. Implementation Plan'!P147)^($C376-1),H323*(1-'B. Implementation Plan'!P149)*'B. Implementation Plan'!P152*'B. Implementation Plan'!P154*(1-'B. Implementation Plan'!P147)^($C376-1)),0),0)</f>
        <v>0</v>
      </c>
      <c r="K376" s="347">
        <f ca="1">IF($C376&lt;=ROUNDUP('B. Implementation Plan'!P156,0),ROUND(IF(AND($C376-'B. Implementation Plan'!P156&lt;1,$C376-'B. Implementation Plan'!P156&gt;0),MOD('B. Implementation Plan'!P156,1)*I323*(1-'B. Implementation Plan'!P149)*'B. Implementation Plan'!P152*'B. Implementation Plan'!P154*(1-'B. Implementation Plan'!P147)^($C376-1),I323*(1-'B. Implementation Plan'!P149)*'B. Implementation Plan'!P152*'B. Implementation Plan'!P154*(1-'B. Implementation Plan'!P147)^($C376-1)),0),0)</f>
        <v>0</v>
      </c>
      <c r="L376" s="347">
        <f ca="1">IF($C376&lt;=ROUNDUP('B. Implementation Plan'!P156,0),ROUND(IF(AND($C376-'B. Implementation Plan'!P156&lt;1,$C376-'B. Implementation Plan'!P156&gt;0),MOD('B. Implementation Plan'!P156,1)*J323*(1-'B. Implementation Plan'!P149)*'B. Implementation Plan'!P152*'B. Implementation Plan'!P154*(1-'B. Implementation Plan'!P147)^($C376-1),J323*(1-'B. Implementation Plan'!P149)*'B. Implementation Plan'!P152*'B. Implementation Plan'!P154*(1-'B. Implementation Plan'!P147)^($C376-1)),0),0)</f>
        <v>0</v>
      </c>
      <c r="M376" s="347">
        <f ca="1">IF($C376&lt;=ROUNDUP('B. Implementation Plan'!P156,0),ROUND(IF(AND($C376-'B. Implementation Plan'!P156&lt;1,$C376-'B. Implementation Plan'!P156&gt;0),MOD('B. Implementation Plan'!P156,1)*K323*(1-'B. Implementation Plan'!P149)*'B. Implementation Plan'!P152*'B. Implementation Plan'!P154*(1-'B. Implementation Plan'!P147)^($C376-1),K323*(1-'B. Implementation Plan'!P149)*'B. Implementation Plan'!P152*'B. Implementation Plan'!P154*(1-'B. Implementation Plan'!P147)^($C376-1)),0),0)</f>
        <v>0</v>
      </c>
      <c r="N376" s="347">
        <f ca="1">IF($C376&lt;=ROUNDUP('B. Implementation Plan'!P156,0),ROUND(IF(AND($C376-'B. Implementation Plan'!P156&lt;1,$C376-'B. Implementation Plan'!P156&gt;0),MOD('B. Implementation Plan'!P156,1)*L323*(1-'B. Implementation Plan'!P149)*'B. Implementation Plan'!P152*'B. Implementation Plan'!P154*(1-'B. Implementation Plan'!P147)^($C376-1),L323*(1-'B. Implementation Plan'!P149)*'B. Implementation Plan'!P152*'B. Implementation Plan'!P154*(1-'B. Implementation Plan'!P147)^($C376-1)),0),0)</f>
        <v>0</v>
      </c>
      <c r="O376" s="347">
        <f ca="1">IF($C376&lt;=ROUNDUP('B. Implementation Plan'!P156,0),ROUND(IF(AND($C376-'B. Implementation Plan'!P156&lt;1,$C376-'B. Implementation Plan'!P156&gt;0),MOD('B. Implementation Plan'!P156,1)*M323*(1-'B. Implementation Plan'!P149)*'B. Implementation Plan'!P152*'B. Implementation Plan'!P154*(1-'B. Implementation Plan'!P147)^($C376-1),M323*(1-'B. Implementation Plan'!P149)*'B. Implementation Plan'!P152*'B. Implementation Plan'!P154*(1-'B. Implementation Plan'!P147)^($C376-1)),0),0)</f>
        <v>0</v>
      </c>
      <c r="P376" s="78" t="str">
        <f t="shared" ca="1" si="310"/>
        <v/>
      </c>
    </row>
    <row r="377" spans="3:16" s="365" customFormat="1" x14ac:dyDescent="0.3">
      <c r="C377" s="370">
        <v>4</v>
      </c>
      <c r="D377" s="365" t="s">
        <v>361</v>
      </c>
      <c r="E377"/>
      <c r="F377"/>
      <c r="G377"/>
      <c r="H377"/>
      <c r="I377" s="347">
        <f ca="1">IF($C377&lt;=ROUNDUP('B. Implementation Plan'!P156,0),ROUND(IF(AND($C377-'B. Implementation Plan'!P156&lt;1,$C377-'B. Implementation Plan'!P156&gt;0),MOD('B. Implementation Plan'!P156,1)*(E323+F323)*(1-'B. Implementation Plan'!P149)*'B. Implementation Plan'!P152*'B. Implementation Plan'!P154*(1-'B. Implementation Plan'!P147)^($C377-1),(E323+F323)*(1-'B. Implementation Plan'!P149)*'B. Implementation Plan'!P152*'B. Implementation Plan'!P154*(1-'B. Implementation Plan'!P147)^($C377-1)),0),0)</f>
        <v>0</v>
      </c>
      <c r="J377" s="347">
        <f ca="1">IF($C377&lt;=ROUNDUP('B. Implementation Plan'!P156,0),ROUND(IF(AND($C377-'B. Implementation Plan'!P156&lt;1,$C377-'B. Implementation Plan'!P156&gt;0),MOD('B. Implementation Plan'!P156,1)*G323*(1-'B. Implementation Plan'!P149)*'B. Implementation Plan'!P152*'B. Implementation Plan'!P154*(1-'B. Implementation Plan'!P147)^($C377-1),G323*(1-'B. Implementation Plan'!P149)*'B. Implementation Plan'!P152*'B. Implementation Plan'!P154*(1-'B. Implementation Plan'!P147)^($C377-1)),0),0)</f>
        <v>0</v>
      </c>
      <c r="K377" s="347">
        <f ca="1">IF($C377&lt;=ROUNDUP('B. Implementation Plan'!P156,0),ROUND(IF(AND($C377-'B. Implementation Plan'!P156&lt;1,$C377-'B. Implementation Plan'!P156&gt;0),MOD('B. Implementation Plan'!P156,1)*H323*(1-'B. Implementation Plan'!P149)*'B. Implementation Plan'!P152*'B. Implementation Plan'!P154*(1-'B. Implementation Plan'!P147)^($C377-1),H323*(1-'B. Implementation Plan'!P149)*'B. Implementation Plan'!P152*'B. Implementation Plan'!P154*(1-'B. Implementation Plan'!P147)^($C377-1)),0),0)</f>
        <v>0</v>
      </c>
      <c r="L377" s="347">
        <f ca="1">IF($C377&lt;=ROUNDUP('B. Implementation Plan'!P156,0),ROUND(IF(AND($C377-'B. Implementation Plan'!P156&lt;1,$C377-'B. Implementation Plan'!P156&gt;0),MOD('B. Implementation Plan'!P156,1)*I323*(1-'B. Implementation Plan'!P149)*'B. Implementation Plan'!P152*'B. Implementation Plan'!P154*(1-'B. Implementation Plan'!P147)^($C377-1),I323*(1-'B. Implementation Plan'!P149)*'B. Implementation Plan'!P152*'B. Implementation Plan'!P154*(1-'B. Implementation Plan'!P147)^($C377-1)),0),0)</f>
        <v>0</v>
      </c>
      <c r="M377" s="347">
        <f ca="1">IF($C377&lt;=ROUNDUP('B. Implementation Plan'!P156,0),ROUND(IF(AND($C377-'B. Implementation Plan'!P156&lt;1,$C377-'B. Implementation Plan'!P156&gt;0),MOD('B. Implementation Plan'!P156,1)*J323*(1-'B. Implementation Plan'!P149)*'B. Implementation Plan'!P152*'B. Implementation Plan'!P154*(1-'B. Implementation Plan'!P147)^($C377-1),J323*(1-'B. Implementation Plan'!P149)*'B. Implementation Plan'!P152*'B. Implementation Plan'!P154*(1-'B. Implementation Plan'!P147)^($C377-1)),0),0)</f>
        <v>0</v>
      </c>
      <c r="N377" s="347">
        <f ca="1">IF($C377&lt;=ROUNDUP('B. Implementation Plan'!P156,0),ROUND(IF(AND($C377-'B. Implementation Plan'!P156&lt;1,$C377-'B. Implementation Plan'!P156&gt;0),MOD('B. Implementation Plan'!P156,1)*K323*(1-'B. Implementation Plan'!P149)*'B. Implementation Plan'!P152*'B. Implementation Plan'!P154*(1-'B. Implementation Plan'!P147)^($C377-1),K323*(1-'B. Implementation Plan'!P149)*'B. Implementation Plan'!P152*'B. Implementation Plan'!P154*(1-'B. Implementation Plan'!P147)^($C377-1)),0),0)</f>
        <v>0</v>
      </c>
      <c r="O377" s="347">
        <f ca="1">IF($C377&lt;=ROUNDUP('B. Implementation Plan'!P156,0),ROUND(IF(AND($C377-'B. Implementation Plan'!P156&lt;1,$C377-'B. Implementation Plan'!P156&gt;0),MOD('B. Implementation Plan'!P156,1)*L323*(1-'B. Implementation Plan'!P149)*'B. Implementation Plan'!P152*'B. Implementation Plan'!P154*(1-'B. Implementation Plan'!P147)^($C377-1),L323*(1-'B. Implementation Plan'!P149)*'B. Implementation Plan'!P152*'B. Implementation Plan'!P154*(1-'B. Implementation Plan'!P147)^($C377-1)),0),0)</f>
        <v>0</v>
      </c>
      <c r="P377" s="78" t="str">
        <f t="shared" ca="1" si="310"/>
        <v/>
      </c>
    </row>
    <row r="378" spans="3:16" s="365" customFormat="1" x14ac:dyDescent="0.3">
      <c r="C378" s="370">
        <v>5</v>
      </c>
      <c r="E378"/>
      <c r="F378"/>
      <c r="G378"/>
      <c r="H378"/>
      <c r="I378"/>
      <c r="J378" s="347">
        <f ca="1">IF($C378&lt;=ROUNDUP('B. Implementation Plan'!P156,0),ROUND(IF(AND($C378-'B. Implementation Plan'!P156&lt;1,$C378-'B. Implementation Plan'!P156&gt;0),MOD('B. Implementation Plan'!P156,1)*(E323+F323)*(1-'B. Implementation Plan'!P149)*'B. Implementation Plan'!P152*'B. Implementation Plan'!P154*(1-'B. Implementation Plan'!P147)^($C378-1),(E323+F323)*(1-'B. Implementation Plan'!P149)*'B. Implementation Plan'!P152*'B. Implementation Plan'!P154*(1-'B. Implementation Plan'!P147)^($C378-1)),0),0)</f>
        <v>0</v>
      </c>
      <c r="K378" s="347">
        <f ca="1">IF($C378&lt;=ROUNDUP('B. Implementation Plan'!P156,0),ROUND(IF(AND($C378-'B. Implementation Plan'!P156&lt;1,$C378-'B. Implementation Plan'!P156&gt;0),MOD('B. Implementation Plan'!P156,1)*G323*(1-'B. Implementation Plan'!P149)*'B. Implementation Plan'!P152*'B. Implementation Plan'!P154*(1-'B. Implementation Plan'!P147)^($C378-1),G323*(1-'B. Implementation Plan'!P149)*'B. Implementation Plan'!P152*'B. Implementation Plan'!P154*(1-'B. Implementation Plan'!P147)^($C378-1)),0),0)</f>
        <v>0</v>
      </c>
      <c r="L378" s="347">
        <f ca="1">IF($C378&lt;=ROUNDUP('B. Implementation Plan'!P156,0),ROUND(IF(AND($C378-'B. Implementation Plan'!P156&lt;1,$C378-'B. Implementation Plan'!P156&gt;0),MOD('B. Implementation Plan'!P156,1)*H323*(1-'B. Implementation Plan'!P149)*'B. Implementation Plan'!P152*'B. Implementation Plan'!P154*(1-'B. Implementation Plan'!P147)^($C378-1),H323*(1-'B. Implementation Plan'!P149)*'B. Implementation Plan'!P152*'B. Implementation Plan'!P154*(1-'B. Implementation Plan'!P147)^($C378-1)),0),0)</f>
        <v>0</v>
      </c>
      <c r="M378" s="347">
        <f ca="1">IF($C378&lt;=ROUNDUP('B. Implementation Plan'!P156,0),ROUND(IF(AND($C378-'B. Implementation Plan'!P156&lt;1,$C378-'B. Implementation Plan'!P156&gt;0),MOD('B. Implementation Plan'!P156,1)*I323*(1-'B. Implementation Plan'!P149)*'B. Implementation Plan'!P152*'B. Implementation Plan'!P154*(1-'B. Implementation Plan'!P147)^($C378-1),I323*(1-'B. Implementation Plan'!P149)*'B. Implementation Plan'!P152*'B. Implementation Plan'!P154*(1-'B. Implementation Plan'!P147)^($C378-1)),0),0)</f>
        <v>0</v>
      </c>
      <c r="N378" s="347">
        <f ca="1">IF($C378&lt;=ROUNDUP('B. Implementation Plan'!P156,0),ROUND(IF(AND($C378-'B. Implementation Plan'!P156&lt;1,$C378-'B. Implementation Plan'!P156&gt;0),MOD('B. Implementation Plan'!P156,1)*J323*(1-'B. Implementation Plan'!P149)*'B. Implementation Plan'!P152*'B. Implementation Plan'!P154*(1-'B. Implementation Plan'!P147)^($C378-1),J323*(1-'B. Implementation Plan'!P149)*'B. Implementation Plan'!P152*'B. Implementation Plan'!P154*(1-'B. Implementation Plan'!P147)^($C378-1)),0),0)</f>
        <v>0</v>
      </c>
      <c r="O378" s="347">
        <f ca="1">IF($C378&lt;=ROUNDUP('B. Implementation Plan'!P156,0),ROUND(IF(AND($C378-'B. Implementation Plan'!P156&lt;1,$C378-'B. Implementation Plan'!P156&gt;0),MOD('B. Implementation Plan'!P156,1)*K323*(1-'B. Implementation Plan'!P149)*'B. Implementation Plan'!P152*'B. Implementation Plan'!P154*(1-'B. Implementation Plan'!P147)^($C378-1),K323*(1-'B. Implementation Plan'!P149)*'B. Implementation Plan'!P152*'B. Implementation Plan'!P154*(1-'B. Implementation Plan'!P147)^($C378-1)),0),0)</f>
        <v>0</v>
      </c>
      <c r="P378" s="78" t="str">
        <f t="shared" ca="1" si="310"/>
        <v/>
      </c>
    </row>
    <row r="379" spans="3:16" s="365" customFormat="1" x14ac:dyDescent="0.3">
      <c r="C379" s="370">
        <v>6</v>
      </c>
      <c r="E379"/>
      <c r="F379"/>
      <c r="G379"/>
      <c r="H379"/>
      <c r="I379"/>
      <c r="J379"/>
      <c r="K379" s="347">
        <f ca="1">IF($C379&lt;=ROUNDUP('B. Implementation Plan'!P156,0),ROUND(IF(AND($C379-'B. Implementation Plan'!P156&lt;1,$C379-'B. Implementation Plan'!P156&gt;0),MOD('B. Implementation Plan'!P156,1)*(E323+F323)*(1-'B. Implementation Plan'!P149)*'B. Implementation Plan'!P152*'B. Implementation Plan'!P154*(1-'B. Implementation Plan'!P147)^($C379-1),(E323+F323)*(1-'B. Implementation Plan'!P149)*'B. Implementation Plan'!P152*'B. Implementation Plan'!P154*(1-'B. Implementation Plan'!P147)^($C379-1)),0),0)</f>
        <v>0</v>
      </c>
      <c r="L379" s="347">
        <f ca="1">IF($C379&lt;=ROUNDUP('B. Implementation Plan'!P156,0),ROUND(IF(AND($C379-'B. Implementation Plan'!P156&lt;1,$C379-'B. Implementation Plan'!P156&gt;0),MOD('B. Implementation Plan'!P156,1)*G323*(1-'B. Implementation Plan'!P149)*'B. Implementation Plan'!P152*'B. Implementation Plan'!P154*(1-'B. Implementation Plan'!P147)^($C379-1),G323*(1-'B. Implementation Plan'!P149)*'B. Implementation Plan'!P152*'B. Implementation Plan'!P154*(1-'B. Implementation Plan'!P147)^($C379-1)),0),0)</f>
        <v>0</v>
      </c>
      <c r="M379" s="347">
        <f ca="1">IF($C379&lt;=ROUNDUP('B. Implementation Plan'!P156,0),ROUND(IF(AND($C379-'B. Implementation Plan'!P156&lt;1,$C379-'B. Implementation Plan'!P156&gt;0),MOD('B. Implementation Plan'!P156,1)*H323*(1-'B. Implementation Plan'!P149)*'B. Implementation Plan'!P152*'B. Implementation Plan'!P154*(1-'B. Implementation Plan'!P147)^($C379-1),H323*(1-'B. Implementation Plan'!P149)*'B. Implementation Plan'!P152*'B. Implementation Plan'!P154*(1-'B. Implementation Plan'!P147)^($C379-1)),0),0)</f>
        <v>0</v>
      </c>
      <c r="N379" s="347">
        <f ca="1">IF($C379&lt;=ROUNDUP('B. Implementation Plan'!P156,0),ROUND(IF(AND($C379-'B. Implementation Plan'!P156&lt;1,$C379-'B. Implementation Plan'!P156&gt;0),MOD('B. Implementation Plan'!P156,1)*I323*(1-'B. Implementation Plan'!P149)*'B. Implementation Plan'!P152*'B. Implementation Plan'!P154*(1-'B. Implementation Plan'!P147)^($C379-1),I323*(1-'B. Implementation Plan'!P149)*'B. Implementation Plan'!P152*'B. Implementation Plan'!P154*(1-'B. Implementation Plan'!P147)^($C379-1)),0),0)</f>
        <v>0</v>
      </c>
      <c r="O379" s="347">
        <f ca="1">IF($C379&lt;=ROUNDUP('B. Implementation Plan'!P156,0),ROUND(IF(AND($C379-'B. Implementation Plan'!P156&lt;1,$C379-'B. Implementation Plan'!P156&gt;0),MOD('B. Implementation Plan'!P156,1)*J323*(1-'B. Implementation Plan'!P149)*'B. Implementation Plan'!P152*'B. Implementation Plan'!P154*(1-'B. Implementation Plan'!P147)^($C379-1),J323*(1-'B. Implementation Plan'!P149)*'B. Implementation Plan'!P152*'B. Implementation Plan'!P154*(1-'B. Implementation Plan'!P147)^($C379-1)),0),0)</f>
        <v>0</v>
      </c>
      <c r="P379" s="78" t="str">
        <f t="shared" ca="1" si="310"/>
        <v/>
      </c>
    </row>
    <row r="380" spans="3:16" s="365" customFormat="1" x14ac:dyDescent="0.3">
      <c r="C380" s="370">
        <v>7</v>
      </c>
      <c r="E380"/>
      <c r="F380"/>
      <c r="G380"/>
      <c r="H380"/>
      <c r="I380"/>
      <c r="J380"/>
      <c r="K380"/>
      <c r="L380" s="347">
        <f>IF($C380&lt;=ROUNDUP('B. Implementation Plan'!P156,0),ROUND(IF(AND($C380-'B. Implementation Plan'!P156&lt;1,$C380-'B. Implementation Plan'!P156&gt;0),MOD('B. Implementation Plan'!P156,1)*(E323+F323)*(1-'B. Implementation Plan'!P149)*'B. Implementation Plan'!P152*'B. Implementation Plan'!P154*(1-'B. Implementation Plan'!P147)^($C380-1),(E323+F323)*(1-'B. Implementation Plan'!P149)*'B. Implementation Plan'!P152*'B. Implementation Plan'!P154*(1-'B. Implementation Plan'!P147)^($C380-1)),0),0)</f>
        <v>0</v>
      </c>
      <c r="M380" s="347">
        <f>IF($C380&lt;=ROUNDUP('B. Implementation Plan'!P156,0),ROUND(IF(AND($C380-'B. Implementation Plan'!P156&lt;1,$C380-'B. Implementation Plan'!P156&gt;0),MOD('B. Implementation Plan'!P156,1)*G323*(1-'B. Implementation Plan'!P149)*'B. Implementation Plan'!P152*'B. Implementation Plan'!P154*(1-'B. Implementation Plan'!P147)^($C380-1),G323*(1-'B. Implementation Plan'!P149)*'B. Implementation Plan'!P152*'B. Implementation Plan'!P154*(1-'B. Implementation Plan'!P147)^($C380-1)),0),0)</f>
        <v>0</v>
      </c>
      <c r="N380" s="347">
        <f>IF($C380&lt;=ROUNDUP('B. Implementation Plan'!P156,0),ROUND(IF(AND($C380-'B. Implementation Plan'!P156&lt;1,$C380-'B. Implementation Plan'!P156&gt;0),MOD('B. Implementation Plan'!P156,1)*H323*(1-'B. Implementation Plan'!P149)*'B. Implementation Plan'!P152*'B. Implementation Plan'!P154*(1-'B. Implementation Plan'!P147)^($C380-1),H323*(1-'B. Implementation Plan'!P149)*'B. Implementation Plan'!P152*'B. Implementation Plan'!P154*(1-'B. Implementation Plan'!P147)^($C380-1)),0),0)</f>
        <v>0</v>
      </c>
      <c r="O380" s="347">
        <f>IF($C380&lt;=ROUNDUP('B. Implementation Plan'!P156,0),ROUND(IF(AND($C380-'B. Implementation Plan'!P156&lt;1,$C380-'B. Implementation Plan'!P156&gt;0),MOD('B. Implementation Plan'!P156,1)*I323*(1-'B. Implementation Plan'!P149)*'B. Implementation Plan'!P152*'B. Implementation Plan'!P154*(1-'B. Implementation Plan'!P147)^($C380-1),I323*(1-'B. Implementation Plan'!P149)*'B. Implementation Plan'!P152*'B. Implementation Plan'!P154*(1-'B. Implementation Plan'!P147)^($C380-1)),0),0)</f>
        <v>0</v>
      </c>
      <c r="P380" s="78" t="str">
        <f t="shared" si="310"/>
        <v/>
      </c>
    </row>
    <row r="381" spans="3:16" s="365" customFormat="1" x14ac:dyDescent="0.3">
      <c r="C381" s="370">
        <v>8</v>
      </c>
      <c r="E381"/>
      <c r="F381"/>
      <c r="G381"/>
      <c r="H381"/>
      <c r="I381"/>
      <c r="J381"/>
      <c r="K381"/>
      <c r="L381"/>
      <c r="M381" s="347">
        <f>IF($C381&lt;=ROUNDUP('B. Implementation Plan'!P156,0),ROUND(IF(AND($C381-'B. Implementation Plan'!P156&lt;1,$C381-'B. Implementation Plan'!P156&gt;0),MOD('B. Implementation Plan'!P156,1)*(E323+F323)*(1-'B. Implementation Plan'!P149)*'B. Implementation Plan'!P152*'B. Implementation Plan'!P154*(1-'B. Implementation Plan'!P147)^($C381-1),(E323+F323)*(1-'B. Implementation Plan'!P149)*'B. Implementation Plan'!P152*'B. Implementation Plan'!P154*(1-'B. Implementation Plan'!P147)^($C381-1)),0),0)</f>
        <v>0</v>
      </c>
      <c r="N381" s="347">
        <f>IF($C381&lt;=ROUNDUP('B. Implementation Plan'!P156,0),ROUND(IF(AND($C381-'B. Implementation Plan'!P156&lt;1,$C381-'B. Implementation Plan'!P156&gt;0),MOD('B. Implementation Plan'!P156,1)*G323*(1-'B. Implementation Plan'!P149)*'B. Implementation Plan'!P152*'B. Implementation Plan'!P154*(1-'B. Implementation Plan'!P147)^($C381-1),G323*(1-'B. Implementation Plan'!P149)*'B. Implementation Plan'!P152*'B. Implementation Plan'!P154*(1-'B. Implementation Plan'!P147)^($C381-1)),0),0)</f>
        <v>0</v>
      </c>
      <c r="O381" s="347">
        <f>IF($C381&lt;=ROUNDUP('B. Implementation Plan'!P156,0),ROUND(IF(AND($C381-'B. Implementation Plan'!P156&lt;1,$C381-'B. Implementation Plan'!P156&gt;0),MOD('B. Implementation Plan'!P156,1)*H323*(1-'B. Implementation Plan'!P149)*'B. Implementation Plan'!P152*'B. Implementation Plan'!P154*(1-'B. Implementation Plan'!P147)^($C381-1),H323*(1-'B. Implementation Plan'!P149)*'B. Implementation Plan'!P152*'B. Implementation Plan'!P154*(1-'B. Implementation Plan'!P147)^($C381-1)),0),0)</f>
        <v>0</v>
      </c>
      <c r="P381" s="78" t="str">
        <f t="shared" si="310"/>
        <v/>
      </c>
    </row>
    <row r="382" spans="3:16" s="365" customFormat="1" x14ac:dyDescent="0.3">
      <c r="C382" s="370">
        <v>9</v>
      </c>
      <c r="E382"/>
      <c r="F382"/>
      <c r="G382"/>
      <c r="H382"/>
      <c r="I382"/>
      <c r="J382"/>
      <c r="K382"/>
      <c r="L382"/>
      <c r="M382"/>
      <c r="N382" s="347">
        <f>IF($C382&lt;=ROUNDUP('B. Implementation Plan'!P156,0),ROUND(IF(AND($C382-'B. Implementation Plan'!P156&lt;1,$C382-'B. Implementation Plan'!P156&gt;0),MOD('B. Implementation Plan'!P156,1)*(E323+F323)*(1-'B. Implementation Plan'!P149)*'B. Implementation Plan'!P152*'B. Implementation Plan'!P154*(1-'B. Implementation Plan'!P147)^($C382-1),(E323+F323)*(1-'B. Implementation Plan'!P149)*'B. Implementation Plan'!P152*'B. Implementation Plan'!P154*(1-'B. Implementation Plan'!P147)^($C382-1)),0),0)</f>
        <v>0</v>
      </c>
      <c r="O382" s="347">
        <f>IF($C382&lt;=ROUNDUP('B. Implementation Plan'!P156,0),ROUND(IF(AND($C382-'B. Implementation Plan'!P156&lt;1,$C382-'B. Implementation Plan'!P156&gt;0),MOD('B. Implementation Plan'!P156,1)*G323*(1-'B. Implementation Plan'!P149)*'B. Implementation Plan'!P152*'B. Implementation Plan'!P154*(1-'B. Implementation Plan'!P147)^($C382-1),G323*(1-'B. Implementation Plan'!P149)*'B. Implementation Plan'!P152*'B. Implementation Plan'!P154*(1-'B. Implementation Plan'!P147)^($C382-1)),0),0)</f>
        <v>0</v>
      </c>
      <c r="P382" s="78" t="str">
        <f t="shared" si="310"/>
        <v/>
      </c>
    </row>
    <row r="383" spans="3:16" s="365" customFormat="1" x14ac:dyDescent="0.3">
      <c r="C383" s="370">
        <v>10</v>
      </c>
      <c r="E383"/>
      <c r="F383"/>
      <c r="G383"/>
      <c r="H383"/>
      <c r="I383"/>
      <c r="J383"/>
      <c r="K383"/>
      <c r="L383"/>
      <c r="M383"/>
      <c r="N383" s="19"/>
      <c r="O383" s="347">
        <f>IF($C383&lt;=ROUNDUP('B. Implementation Plan'!P156,0),ROUND(IF(AND($C383-'B. Implementation Plan'!P156&lt;1,$C383-'B. Implementation Plan'!P156&gt;0),MOD('B. Implementation Plan'!P156,1)*(E323+F323)*(1-'B. Implementation Plan'!P149)*'B. Implementation Plan'!P152*'B. Implementation Plan'!P154*(1-'B. Implementation Plan'!P147)^($C383-1),(E323+F323)*(1-'B. Implementation Plan'!P149)*'B. Implementation Plan'!P152*'B. Implementation Plan'!P154*(1-'B. Implementation Plan'!P147)^($C383-1)),0),0)</f>
        <v>0</v>
      </c>
      <c r="P383" s="78" t="str">
        <f t="shared" si="310"/>
        <v/>
      </c>
    </row>
    <row r="384" spans="3:16" s="1" customFormat="1" x14ac:dyDescent="0.3">
      <c r="C384" s="376" t="s">
        <v>528</v>
      </c>
      <c r="E384"/>
      <c r="F384" s="371">
        <f t="shared" ref="F384:O384" ca="1" si="311">IF(F318&gt;0,SUM(F374:F383),0)</f>
        <v>0</v>
      </c>
      <c r="G384" s="371">
        <f t="shared" ca="1" si="311"/>
        <v>0</v>
      </c>
      <c r="H384" s="371">
        <f t="shared" ca="1" si="311"/>
        <v>0</v>
      </c>
      <c r="I384" s="371">
        <f t="shared" ca="1" si="311"/>
        <v>0</v>
      </c>
      <c r="J384" s="371">
        <f t="shared" ca="1" si="311"/>
        <v>0</v>
      </c>
      <c r="K384" s="371">
        <f t="shared" ca="1" si="311"/>
        <v>0</v>
      </c>
      <c r="L384" s="371">
        <f t="shared" ca="1" si="311"/>
        <v>0</v>
      </c>
      <c r="M384" s="371">
        <f t="shared" ca="1" si="311"/>
        <v>0</v>
      </c>
      <c r="N384" s="371">
        <f t="shared" ca="1" si="311"/>
        <v>0</v>
      </c>
      <c r="O384" s="377">
        <f t="shared" ca="1" si="311"/>
        <v>0</v>
      </c>
      <c r="P384" s="325">
        <f ca="1">SUM(E384:O384)</f>
        <v>0</v>
      </c>
    </row>
    <row r="385" spans="1:16" s="1" customFormat="1" x14ac:dyDescent="0.3">
      <c r="C385" s="353" t="s">
        <v>472</v>
      </c>
      <c r="E385"/>
      <c r="F385" s="324">
        <f ca="1">MIN(IFERROR(ROUNDUP(IF(F318&gt;0,INDEX(F374:F383,MATCH(9.99999999999999E+307,P374:P383))/IF(MOD('B. Implementation Plan'!P156,1)=0,1,MOD('B. Implementation Plan'!P156,1)),0),0),0),MAX(E374:E383))</f>
        <v>0</v>
      </c>
      <c r="G385" s="324">
        <f ca="1">MIN(IFERROR(ROUNDUP(IF(G318&gt;0,INDEX(G374:G383,MATCH(9.99999999999999E+307,P374:P383))/IF(MOD('B. Implementation Plan'!P156,1)=0,1,MOD('B. Implementation Plan'!P156,1)),0),0),0),MAX(E374:F383))</f>
        <v>0</v>
      </c>
      <c r="H385" s="324">
        <f ca="1">MIN(IFERROR(ROUNDUP(IF(H318&gt;0,INDEX(H374:H383,MATCH(9.99999999999999E+307,P374:P383))/IF(MOD('B. Implementation Plan'!P156,1)=0,1,MOD('B. Implementation Plan'!P156,1)),0),0),0),MAX(E374:G383))</f>
        <v>0</v>
      </c>
      <c r="I385" s="324">
        <f ca="1">MIN(IFERROR(ROUNDUP(IF(I318&gt;0,INDEX(I374:I383,MATCH(9.99999999999999E+307,P374:P383))/IF(MOD('B. Implementation Plan'!P156,1)=0,1,MOD('B. Implementation Plan'!P156,1)),0),0),0),MAX(E374:H383))</f>
        <v>0</v>
      </c>
      <c r="J385" s="324">
        <f ca="1">MIN(IFERROR(ROUNDUP(IF(J318&gt;0,INDEX(J374:J383,MATCH(9.99999999999999E+307,P374:P383))/IF(MOD('B. Implementation Plan'!P156,1)=0,1,MOD('B. Implementation Plan'!P156,1)),0),0),0),MAX(E374:I383))</f>
        <v>0</v>
      </c>
      <c r="K385" s="324">
        <f ca="1">MIN(IFERROR(ROUNDUP(IF(K318&gt;0,INDEX(K374:K383,MATCH(9.99999999999999E+307,P374:P383))/IF(MOD('B. Implementation Plan'!P156,1)=0,1,MOD('B. Implementation Plan'!P156,1)),0),0),0),MAX(E374:J383))</f>
        <v>0</v>
      </c>
      <c r="L385" s="324">
        <f ca="1">MIN(IFERROR(ROUNDUP(IF(L318&gt;0,INDEX(L374:L383,MATCH(9.99999999999999E+307,P374:P383))/IF(MOD('B. Implementation Plan'!P156,1)=0,1,MOD('B. Implementation Plan'!P156,1)),0),0),0),MAX(E374:K383))</f>
        <v>0</v>
      </c>
      <c r="M385" s="324">
        <f ca="1">MIN(IFERROR(ROUNDUP(IF(M318&gt;0,INDEX(M374:M383,MATCH(9.99999999999999E+307,P374:P383))/IF(MOD('B. Implementation Plan'!P156,1)=0,1,MOD('B. Implementation Plan'!P156,1)),0),0),0),MAX(E374:L383))</f>
        <v>0</v>
      </c>
      <c r="N385" s="324">
        <f ca="1">MIN(IFERROR(ROUNDUP(IF(N318&gt;0,INDEX(N374:N383,MATCH(9.99999999999999E+307,P374:P383))/IF(MOD('B. Implementation Plan'!P156,1)=0,1,MOD('B. Implementation Plan'!P156,1)),0),0),0),MAX(E374:M383))</f>
        <v>0</v>
      </c>
      <c r="O385" s="324">
        <f ca="1">MIN(IFERROR(ROUNDUP(IF(O318&gt;0,INDEX(O374:O383,MATCH(9.99999999999999E+307,P374:P383))/IF(MOD('B. Implementation Plan'!P156,1)=0,1,MOD('B. Implementation Plan'!P156,1)),0),0),0),MAX(E374:N383))</f>
        <v>0</v>
      </c>
      <c r="P385" s="325">
        <f ca="1">SUM(E385:O385)</f>
        <v>0</v>
      </c>
    </row>
    <row r="386" spans="1:16" s="365" customFormat="1" x14ac:dyDescent="0.3">
      <c r="C386" s="326" t="s">
        <v>470</v>
      </c>
      <c r="E386"/>
      <c r="F386" s="347">
        <f ca="1">ROUNDUP(IF(F318&gt;0,IF(SUM(E385:F385,E386:E386)*'B. Implementation Plan'!P147&gt;P385,0,-ROUND(SUM(E385:F385,E386:E386)*'B. Implementation Plan'!P147,0)),0),0)</f>
        <v>0</v>
      </c>
      <c r="G386" s="347">
        <f ca="1">ROUNDUP(IF(G318&gt;0,IF(SUM(E385:G385,E386:F386)*'B. Implementation Plan'!P147&gt;P385,0,-ROUND(SUM(E385:G385,E386:F386)*'B. Implementation Plan'!P147,0)),0),0)</f>
        <v>0</v>
      </c>
      <c r="H386" s="347">
        <f ca="1">ROUNDUP(IF(H318&gt;0,IF(SUM(E385:H385,E386:G386)*'B. Implementation Plan'!P147&gt;P385,0,-ROUND(SUM(E385:H385,E386:G386)*'B. Implementation Plan'!P147,0)),0),0)</f>
        <v>0</v>
      </c>
      <c r="I386" s="347">
        <f ca="1">ROUNDUP(IF(I318&gt;0,IF(SUM(E385:I385,E386:H386)*'B. Implementation Plan'!P147&gt;P385,0,-ROUND(SUM(E385:I385,E386:H386)*'B. Implementation Plan'!P147,0)),0),0)</f>
        <v>0</v>
      </c>
      <c r="J386" s="347">
        <f ca="1">ROUNDUP(IF(J318&gt;0,IF(SUM(E385:J385,E386:I386)*'B. Implementation Plan'!P147&gt;P385,0,-ROUND(SUM(E385:J385,E386:I386)*'B. Implementation Plan'!P147,0)),0),0)</f>
        <v>0</v>
      </c>
      <c r="K386" s="347">
        <f ca="1">ROUNDUP(IF(K318&gt;0,IF(SUM(E385:K385,E386:J386)*'B. Implementation Plan'!P147&gt;P385,0,-ROUND(SUM(E385:K385,E386:J386)*'B. Implementation Plan'!P147,0)),0),0)</f>
        <v>0</v>
      </c>
      <c r="L386" s="347">
        <f ca="1">ROUNDUP(IF(L318&gt;0,IF(SUM(E385:L385,E386:K386)*'B. Implementation Plan'!P147&gt;P385,0,-ROUND(SUM(E385:L385,E386:K386)*'B. Implementation Plan'!P147,0)),0),0)</f>
        <v>0</v>
      </c>
      <c r="M386" s="347">
        <f ca="1">ROUNDUP(IF(M318&gt;0,IF(SUM(E385:M385,E386:L386)*'B. Implementation Plan'!P147&gt;P385,0,-ROUND(SUM(E385:M385,E386:L386)*'B. Implementation Plan'!P147,0)),0),0)</f>
        <v>0</v>
      </c>
      <c r="N386" s="347">
        <f ca="1">ROUNDUP(IF(N318&gt;0,IF(SUM(E385:N385,E386:M386)*'B. Implementation Plan'!P147&gt;P385,0,-ROUND(SUM(E385:N385,E386:M386)*'B. Implementation Plan'!P147,0)),0),0)</f>
        <v>0</v>
      </c>
      <c r="O386" s="347">
        <f ca="1">ROUNDUP(IF(O318&gt;0,IF(SUM(E385:O385,E386:N386)*'B. Implementation Plan'!P147&gt;P385,0,-ROUND(SUM(E385:O385,E386:N386)*'B. Implementation Plan'!P147,0)),0),0)</f>
        <v>0</v>
      </c>
      <c r="P386" s="354">
        <f ca="1">SUM(E386:O386)</f>
        <v>0</v>
      </c>
    </row>
    <row r="387" spans="1:16" s="365" customFormat="1" ht="15" thickBot="1" x14ac:dyDescent="0.35">
      <c r="C387" s="326" t="s">
        <v>471</v>
      </c>
      <c r="E387"/>
      <c r="F387" s="347">
        <f ca="1">IF(F318&gt;0,SUM(E385:F386),0)</f>
        <v>0</v>
      </c>
      <c r="G387" s="347">
        <f ca="1">IF(G318&gt;0,SUM(E385:G386),0)</f>
        <v>0</v>
      </c>
      <c r="H387" s="347">
        <f ca="1">IF(H318&gt;0,SUM(E385:H386),0)</f>
        <v>0</v>
      </c>
      <c r="I387" s="347">
        <f ca="1">IF(I318&gt;0,SUM(E385:I386),0)</f>
        <v>0</v>
      </c>
      <c r="J387" s="347">
        <f ca="1">IF(J318&gt;0,SUM(E385:J386),0)</f>
        <v>0</v>
      </c>
      <c r="K387" s="347">
        <f ca="1">IF(K318&gt;0,SUM(E385:K386),0)</f>
        <v>0</v>
      </c>
      <c r="L387" s="347">
        <f ca="1">IF(L318&gt;0,SUM(E385:L386),0)</f>
        <v>0</v>
      </c>
      <c r="M387" s="347">
        <f ca="1">IF(M318&gt;0,SUM(E385:M386),0)</f>
        <v>0</v>
      </c>
      <c r="N387" s="347">
        <f ca="1">IF(N318&gt;0,SUM(E385:N386),0)</f>
        <v>0</v>
      </c>
      <c r="O387" s="369">
        <f ca="1">IF(O318&gt;0,SUM(E385:O386),0)</f>
        <v>0</v>
      </c>
      <c r="P387" s="375">
        <f t="shared" ref="P387" ca="1" si="312">IF(O387=0,IF(N387=0,IF(M387=0,IF(L387=0,IF(K387=0,IF(J387=0,IF(I387=0,IF(H387=0,IF(G387=0,IF(F387=0,E387,F387),G387),H387),I387),J387),K387),L387),M387),N387),O387)</f>
        <v>0</v>
      </c>
    </row>
    <row r="388" spans="1:16" ht="16.2" thickBot="1" x14ac:dyDescent="0.35">
      <c r="C388" s="16" t="s">
        <v>479</v>
      </c>
      <c r="E388" s="149">
        <v>0</v>
      </c>
      <c r="F388" s="149">
        <v>1</v>
      </c>
      <c r="G388" s="149">
        <v>2</v>
      </c>
      <c r="H388" s="149">
        <v>3</v>
      </c>
      <c r="I388" s="149">
        <v>4</v>
      </c>
      <c r="J388" s="149">
        <v>5</v>
      </c>
      <c r="K388" s="149">
        <v>6</v>
      </c>
      <c r="L388" s="149">
        <v>7</v>
      </c>
      <c r="M388" s="149">
        <v>8</v>
      </c>
      <c r="N388" s="149">
        <v>9</v>
      </c>
      <c r="O388" s="149">
        <v>10</v>
      </c>
      <c r="P388"/>
    </row>
    <row r="389" spans="1:16" s="1" customFormat="1" x14ac:dyDescent="0.3">
      <c r="C389" s="326" t="s">
        <v>483</v>
      </c>
      <c r="E389" s="372">
        <f ca="1">ROUNDUP(E320*'B. Implementation Plan'!G134+(E318-E320)*'B. Implementation Plan'!P149,0)</f>
        <v>0</v>
      </c>
      <c r="F389" s="372">
        <f ca="1">ROUNDUP(F320*'B. Implementation Plan'!G134+(F318-F320)*'B. Implementation Plan'!P149,0)</f>
        <v>0</v>
      </c>
      <c r="G389" s="372">
        <f ca="1">ROUNDUP(G320*'B. Implementation Plan'!G134+(G318-G320)*'B. Implementation Plan'!P149,0)</f>
        <v>0</v>
      </c>
      <c r="H389" s="372">
        <f ca="1">ROUNDUP(H320*'B. Implementation Plan'!G134+(H318-H320)*'B. Implementation Plan'!P149,0)</f>
        <v>0</v>
      </c>
      <c r="I389" s="372">
        <f ca="1">ROUNDUP(I320*'B. Implementation Plan'!G134+(I318-I320)*'B. Implementation Plan'!P149,0)</f>
        <v>0</v>
      </c>
      <c r="J389" s="372">
        <f ca="1">ROUNDUP(J320*'B. Implementation Plan'!G134+(J318-J320)*'B. Implementation Plan'!P149,0)</f>
        <v>0</v>
      </c>
      <c r="K389" s="372">
        <f ca="1">ROUNDUP(K320*'B. Implementation Plan'!G134+(K318-K320)*'B. Implementation Plan'!P149,0)</f>
        <v>0</v>
      </c>
      <c r="L389" s="372">
        <f ca="1">ROUNDUP(L320*'B. Implementation Plan'!G134+(L318-L320)*'B. Implementation Plan'!P149,0)</f>
        <v>0</v>
      </c>
      <c r="M389" s="372">
        <f ca="1">ROUNDUP(M320*'B. Implementation Plan'!G134+(M318-M320)*'B. Implementation Plan'!P149,0)</f>
        <v>0</v>
      </c>
      <c r="N389" s="372">
        <f ca="1">ROUNDUP(N320*'B. Implementation Plan'!G134+(N318-N320)*'B. Implementation Plan'!P149,0)</f>
        <v>0</v>
      </c>
      <c r="O389" s="372">
        <f ca="1">ROUNDUP(O320*'B. Implementation Plan'!G134+(O318-O320)*'B. Implementation Plan'!P149,0)</f>
        <v>0</v>
      </c>
      <c r="P389" s="379">
        <f t="shared" ref="P389:P390" ca="1" si="313">IF(O389=0,IF(N389=0,IF(M389=0,IF(L389=0,IF(K389=0,IF(J389=0,IF(I389=0,IF(H389=0,IF(G389=0,IF(F389=0,E389,F389),G389),H389),I389),J389),K389),L389),M389),N389),O389)</f>
        <v>0</v>
      </c>
    </row>
    <row r="390" spans="1:16" s="1" customFormat="1" x14ac:dyDescent="0.3">
      <c r="C390" s="326" t="s">
        <v>477</v>
      </c>
      <c r="E390" s="378">
        <f t="shared" ref="E390:O390" ca="1" si="314">IF(E318&gt;0,E389/E318,0)</f>
        <v>0</v>
      </c>
      <c r="F390" s="378">
        <f t="shared" ca="1" si="314"/>
        <v>0</v>
      </c>
      <c r="G390" s="378">
        <f t="shared" ca="1" si="314"/>
        <v>0</v>
      </c>
      <c r="H390" s="378">
        <f t="shared" ca="1" si="314"/>
        <v>0</v>
      </c>
      <c r="I390" s="378">
        <f t="shared" ca="1" si="314"/>
        <v>0</v>
      </c>
      <c r="J390" s="378">
        <f t="shared" ca="1" si="314"/>
        <v>0</v>
      </c>
      <c r="K390" s="378">
        <f t="shared" ca="1" si="314"/>
        <v>0</v>
      </c>
      <c r="L390" s="378">
        <f t="shared" ca="1" si="314"/>
        <v>0</v>
      </c>
      <c r="M390" s="378">
        <f t="shared" ca="1" si="314"/>
        <v>0</v>
      </c>
      <c r="N390" s="378">
        <f t="shared" ca="1" si="314"/>
        <v>0</v>
      </c>
      <c r="O390" s="378">
        <f t="shared" ca="1" si="314"/>
        <v>0</v>
      </c>
      <c r="P390" s="111">
        <f t="shared" ca="1" si="313"/>
        <v>0</v>
      </c>
    </row>
    <row r="391" spans="1:16" s="365" customFormat="1" x14ac:dyDescent="0.3">
      <c r="C391" s="326" t="s">
        <v>484</v>
      </c>
      <c r="F391" s="372">
        <f ca="1">F336+F352+F368+F384</f>
        <v>0</v>
      </c>
      <c r="G391" s="372">
        <f t="shared" ref="G391:O391" ca="1" si="315">G336+G352+G368+G384</f>
        <v>0</v>
      </c>
      <c r="H391" s="372">
        <f t="shared" ca="1" si="315"/>
        <v>0</v>
      </c>
      <c r="I391" s="372">
        <f t="shared" ca="1" si="315"/>
        <v>0</v>
      </c>
      <c r="J391" s="372">
        <f t="shared" ca="1" si="315"/>
        <v>0</v>
      </c>
      <c r="K391" s="372">
        <f t="shared" ca="1" si="315"/>
        <v>0</v>
      </c>
      <c r="L391" s="372">
        <f t="shared" ca="1" si="315"/>
        <v>0</v>
      </c>
      <c r="M391" s="372">
        <f t="shared" ca="1" si="315"/>
        <v>0</v>
      </c>
      <c r="N391" s="372">
        <f t="shared" ca="1" si="315"/>
        <v>0</v>
      </c>
      <c r="O391" s="372">
        <f t="shared" ca="1" si="315"/>
        <v>0</v>
      </c>
      <c r="P391" s="354">
        <f ca="1">MAX(F391:O391)</f>
        <v>0</v>
      </c>
    </row>
    <row r="392" spans="1:16" s="1" customFormat="1" x14ac:dyDescent="0.3">
      <c r="C392" s="326" t="s">
        <v>543</v>
      </c>
      <c r="F392" s="371">
        <f ca="1">F339+F355+F371+F387</f>
        <v>0</v>
      </c>
      <c r="G392" s="371">
        <f t="shared" ref="G392:O392" ca="1" si="316">G339+G355+G371+G387</f>
        <v>0</v>
      </c>
      <c r="H392" s="371">
        <f t="shared" ca="1" si="316"/>
        <v>0</v>
      </c>
      <c r="I392" s="371">
        <f t="shared" ca="1" si="316"/>
        <v>0</v>
      </c>
      <c r="J392" s="371">
        <f t="shared" ca="1" si="316"/>
        <v>0</v>
      </c>
      <c r="K392" s="371">
        <f t="shared" ca="1" si="316"/>
        <v>0</v>
      </c>
      <c r="L392" s="371">
        <f t="shared" ca="1" si="316"/>
        <v>0</v>
      </c>
      <c r="M392" s="371">
        <f t="shared" ca="1" si="316"/>
        <v>0</v>
      </c>
      <c r="N392" s="371">
        <f t="shared" ca="1" si="316"/>
        <v>0</v>
      </c>
      <c r="O392" s="371">
        <f t="shared" ca="1" si="316"/>
        <v>0</v>
      </c>
      <c r="P392" s="354">
        <f t="shared" ref="P392" ca="1" si="317">IF(O392=0,IF(N392=0,IF(M392=0,IF(L392=0,IF(K392=0,IF(J392=0,IF(I392=0,IF(H392=0,IF(G392=0,IF(F392=0,E392,F392),G392),H392),I392),J392),K392),L392),M392),N392),O392)</f>
        <v>0</v>
      </c>
    </row>
    <row r="393" spans="1:16" s="1" customFormat="1" ht="15" thickBot="1" x14ac:dyDescent="0.35">
      <c r="C393" s="353" t="s">
        <v>526</v>
      </c>
      <c r="E393" s="373">
        <f t="shared" ref="E393:O393" ca="1" si="318">IFERROR((E389+E392)/E318,0)</f>
        <v>0</v>
      </c>
      <c r="F393" s="373">
        <f t="shared" ca="1" si="318"/>
        <v>0</v>
      </c>
      <c r="G393" s="373">
        <f t="shared" ca="1" si="318"/>
        <v>0</v>
      </c>
      <c r="H393" s="373">
        <f t="shared" ca="1" si="318"/>
        <v>0</v>
      </c>
      <c r="I393" s="373">
        <f t="shared" ca="1" si="318"/>
        <v>0</v>
      </c>
      <c r="J393" s="373">
        <f t="shared" ca="1" si="318"/>
        <v>0</v>
      </c>
      <c r="K393" s="373">
        <f t="shared" ca="1" si="318"/>
        <v>0</v>
      </c>
      <c r="L393" s="373">
        <f t="shared" ca="1" si="318"/>
        <v>0</v>
      </c>
      <c r="M393" s="373">
        <f t="shared" ca="1" si="318"/>
        <v>0</v>
      </c>
      <c r="N393" s="373">
        <f t="shared" ca="1" si="318"/>
        <v>0</v>
      </c>
      <c r="O393" s="373">
        <f t="shared" ca="1" si="318"/>
        <v>0</v>
      </c>
      <c r="P393" s="190">
        <f t="shared" ref="P393" ca="1" si="319">IF(O393=0,IF(N393=0,IF(M393=0,IF(L393=0,IF(K393=0,IF(J393=0,IF(I393=0,IF(H393=0,IF(G393=0,IF(F393=0,E393,F393),G393),H393),I393),J393),K393),L393),M393),N393),O393)</f>
        <v>0</v>
      </c>
    </row>
    <row r="394" spans="1:16" x14ac:dyDescent="0.3">
      <c r="P394"/>
    </row>
    <row r="395" spans="1:16" ht="15" thickBot="1" x14ac:dyDescent="0.35">
      <c r="P395"/>
    </row>
    <row r="396" spans="1:16" s="67" customFormat="1" ht="15.6" x14ac:dyDescent="0.3">
      <c r="A396" s="62"/>
      <c r="B396" s="62" t="s">
        <v>533</v>
      </c>
      <c r="D396" s="65"/>
      <c r="E396" s="66">
        <v>0</v>
      </c>
      <c r="F396" s="66">
        <v>1</v>
      </c>
      <c r="G396" s="66">
        <v>2</v>
      </c>
      <c r="H396" s="66">
        <v>3</v>
      </c>
      <c r="I396" s="66">
        <v>4</v>
      </c>
      <c r="J396" s="66">
        <v>5</v>
      </c>
      <c r="K396" s="66">
        <v>6</v>
      </c>
      <c r="L396" s="66">
        <v>7</v>
      </c>
      <c r="M396" s="66">
        <v>8</v>
      </c>
      <c r="N396" s="66">
        <v>9</v>
      </c>
      <c r="O396" s="213">
        <v>10</v>
      </c>
      <c r="P396" s="351" t="s">
        <v>2</v>
      </c>
    </row>
    <row r="397" spans="1:16" x14ac:dyDescent="0.3">
      <c r="A397" s="1"/>
      <c r="B397" s="1"/>
      <c r="C397" s="326" t="s">
        <v>457</v>
      </c>
      <c r="D397" s="368"/>
      <c r="E397" s="15">
        <f ca="1">E99</f>
        <v>0</v>
      </c>
      <c r="F397" s="15">
        <f t="shared" ref="F397:O397" ca="1" si="320">F99</f>
        <v>0</v>
      </c>
      <c r="G397" s="15">
        <f t="shared" ca="1" si="320"/>
        <v>0</v>
      </c>
      <c r="H397" s="15">
        <f t="shared" ca="1" si="320"/>
        <v>0</v>
      </c>
      <c r="I397" s="15">
        <f t="shared" ca="1" si="320"/>
        <v>0</v>
      </c>
      <c r="J397" s="15">
        <f t="shared" ca="1" si="320"/>
        <v>0</v>
      </c>
      <c r="K397" s="15">
        <f t="shared" ca="1" si="320"/>
        <v>0</v>
      </c>
      <c r="L397" s="15">
        <f t="shared" ca="1" si="320"/>
        <v>0</v>
      </c>
      <c r="M397" s="15">
        <f t="shared" ca="1" si="320"/>
        <v>0</v>
      </c>
      <c r="N397" s="15">
        <f t="shared" ca="1" si="320"/>
        <v>0</v>
      </c>
      <c r="O397" s="15">
        <f t="shared" ca="1" si="320"/>
        <v>0</v>
      </c>
      <c r="P397" s="78">
        <f ca="1">IF(O397=0,IF(N397=0,IF(M397=0,IF(L397=0,IF(K397=0,IF(J397=0,IF(I397=0,IF(H397=0,IF(G397=0,IF(F397=0,E397,F397),G397),H397),I397),J397),K397),L397),M397),N397),O397)</f>
        <v>0</v>
      </c>
    </row>
    <row r="398" spans="1:16" x14ac:dyDescent="0.3">
      <c r="A398" s="1"/>
      <c r="B398" s="1"/>
      <c r="C398" s="326" t="s">
        <v>459</v>
      </c>
      <c r="D398" s="296"/>
      <c r="E398" s="15">
        <f ca="1">IF(E397&gt;0,'B. Implementation Plan'!E133,0)</f>
        <v>0</v>
      </c>
      <c r="F398" s="15">
        <f ca="1">IF(F397&gt;0,'B. Implementation Plan'!E133,0)</f>
        <v>0</v>
      </c>
      <c r="G398" s="15">
        <f ca="1">IF(G397&gt;0,'B. Implementation Plan'!E133,0)</f>
        <v>0</v>
      </c>
      <c r="H398" s="15">
        <f ca="1">IF(H397&gt;0,'B. Implementation Plan'!E133,0)</f>
        <v>0</v>
      </c>
      <c r="I398" s="15">
        <f ca="1">IF(I397&gt;0,'B. Implementation Plan'!E133,0)</f>
        <v>0</v>
      </c>
      <c r="J398" s="15">
        <f ca="1">IF(J397&gt;0,'B. Implementation Plan'!E133,0)</f>
        <v>0</v>
      </c>
      <c r="K398" s="15">
        <f ca="1">IF(K397&gt;0,'B. Implementation Plan'!E133,0)</f>
        <v>0</v>
      </c>
      <c r="L398" s="15">
        <f ca="1">IF(L397&gt;0,'B. Implementation Plan'!E133,0)</f>
        <v>0</v>
      </c>
      <c r="M398" s="15">
        <f ca="1">IF(M397&gt;0,'B. Implementation Plan'!E133,0)</f>
        <v>0</v>
      </c>
      <c r="N398" s="15">
        <f ca="1">IF(N397&gt;0,'B. Implementation Plan'!E133,0)</f>
        <v>0</v>
      </c>
      <c r="O398" s="15">
        <f ca="1">IF(O397&gt;0,'B. Implementation Plan'!E133,0)</f>
        <v>0</v>
      </c>
      <c r="P398" s="78">
        <f ca="1">IF(O398=0,IF(N398=0,IF(M398=0,IF(L398=0,IF(K398=0,IF(J398=0,IF(I398=0,IF(H398=0,IF(G398=0,IF(F398=0,E398,F398),G398),H398),I398),J398),K398),L398),M398),N398),O398)</f>
        <v>0</v>
      </c>
    </row>
    <row r="399" spans="1:16" x14ac:dyDescent="0.3">
      <c r="C399" s="59" t="s">
        <v>460</v>
      </c>
      <c r="E399" s="324">
        <f ca="1">IF(E397&gt;0,ROUND('B. Implementation Plan'!E133*(1-'B. Implementation Plan'!P147)^E396,0),0)</f>
        <v>0</v>
      </c>
      <c r="F399" s="324">
        <f ca="1">IF(F397&gt;0,ROUND('B. Implementation Plan'!E133*(1-'B. Implementation Plan'!P147)^F396,0),0)</f>
        <v>0</v>
      </c>
      <c r="G399" s="324">
        <f ca="1">IF(G397&gt;0,ROUND('B. Implementation Plan'!E133*(1-'B. Implementation Plan'!P147)^G396,0),0)</f>
        <v>0</v>
      </c>
      <c r="H399" s="324">
        <f ca="1">IF(H397&gt;0,ROUND('B. Implementation Plan'!E133*(1-'B. Implementation Plan'!P147)^H396,0),0)</f>
        <v>0</v>
      </c>
      <c r="I399" s="324">
        <f ca="1">IF(I397&gt;0,ROUND('B. Implementation Plan'!E133*(1-'B. Implementation Plan'!P147)^I396,0),0)</f>
        <v>0</v>
      </c>
      <c r="J399" s="324">
        <f ca="1">IF(J397&gt;0,ROUND('B. Implementation Plan'!E133*(1-'B. Implementation Plan'!P147)^J396,0),0)</f>
        <v>0</v>
      </c>
      <c r="K399" s="324">
        <f ca="1">IF(K397&gt;0,ROUND('B. Implementation Plan'!E133*(1-'B. Implementation Plan'!P147)^K396,0),0)</f>
        <v>0</v>
      </c>
      <c r="L399" s="324">
        <f ca="1">IF(L397&gt;0,ROUND('B. Implementation Plan'!E133*(1-'B. Implementation Plan'!P147)^L396,0),0)</f>
        <v>0</v>
      </c>
      <c r="M399" s="324">
        <f ca="1">IF(M397&gt;0,ROUND('B. Implementation Plan'!E133*(1-'B. Implementation Plan'!P147)^M396,0),0)</f>
        <v>0</v>
      </c>
      <c r="N399" s="324">
        <f ca="1">IF(N397&gt;0,ROUND('B. Implementation Plan'!E133*(1-'B. Implementation Plan'!P147)^N396,0),0)</f>
        <v>0</v>
      </c>
      <c r="O399" s="324">
        <f ca="1">IF(O397&gt;0,ROUND('B. Implementation Plan'!E133*(1-'B. Implementation Plan'!P147)^O396,0),0)</f>
        <v>0</v>
      </c>
      <c r="P399" s="78">
        <f ca="1">IF(O399=0,IF(N399=0,IF(M399=0,IF(L399=0,IF(K399=0,IF(J399=0,IF(I399=0,IF(H399=0,IF(G399=0,IF(F399=0,E399,F399),G399),H399),I399),J399),K399),L399),M399),N399),O399)</f>
        <v>0</v>
      </c>
    </row>
    <row r="400" spans="1:16" s="1" customFormat="1" x14ac:dyDescent="0.3">
      <c r="C400" s="59" t="s">
        <v>487</v>
      </c>
      <c r="E400" s="380"/>
      <c r="F400" s="324">
        <f ca="1">IF('B. Implementation Plan'!P174=0,0,IF(F396&lt;=ROUNDUP(1/'B. Implementation Plan'!P174,0),ROUND(IF(AND(F396-1/'B. Implementation Plan'!P174&lt;1,F396-1/'B. Implementation Plan'!P174&gt;0),F399*MOD(1/'B. Implementation Plan'!P174,1)/(1/'B. Implementation Plan'!P174),MIN(F399-SUM(E400:E400),F399*'B. Implementation Plan'!P174)*(1-'B. Implementation Plan'!E169)*'B. Implementation Plan'!E171),0),0))</f>
        <v>0</v>
      </c>
      <c r="G400" s="324">
        <f>IF('B. Implementation Plan'!P174=0,0,IF(G396&lt;=ROUNDUP(1/'B. Implementation Plan'!P174,0),ROUND(IF(AND(G396-1/'B. Implementation Plan'!P174&lt;1,G396-1/'B. Implementation Plan'!P174&gt;0),G399*MOD(1/'B. Implementation Plan'!P174,1)/(1/'B. Implementation Plan'!P174),MIN(G399-SUM(E400:F400),G399*'B. Implementation Plan'!P174)*(1-'B. Implementation Plan'!E169)*'B. Implementation Plan'!E171),0),0))</f>
        <v>0</v>
      </c>
      <c r="H400" s="324">
        <f>IF('B. Implementation Plan'!P174=0,0,IF(H396&lt;=ROUNDUP(1/'B. Implementation Plan'!P174,0),ROUND(IF(AND(H396-1/'B. Implementation Plan'!P174&lt;1,H396-1/'B. Implementation Plan'!P174&gt;0),H399*MOD(1/'B. Implementation Plan'!P174,1)/(1/'B. Implementation Plan'!P174),MIN(H399-SUM(E400:G400),H399*'B. Implementation Plan'!P174)*(1-'B. Implementation Plan'!E169)*'B. Implementation Plan'!E171),0),0))</f>
        <v>0</v>
      </c>
      <c r="I400" s="324">
        <f>IF('B. Implementation Plan'!P174=0,0,IF(I396&lt;=ROUNDUP(1/'B. Implementation Plan'!P174,0),ROUND(IF(AND(I396-1/'B. Implementation Plan'!P174&lt;1,I396-1/'B. Implementation Plan'!P174&gt;0),I399*MOD(1/'B. Implementation Plan'!P174,1)/(1/'B. Implementation Plan'!P174),MIN(I399-SUM(E400:H400),I399*'B. Implementation Plan'!P174)*(1-'B. Implementation Plan'!E169)*'B. Implementation Plan'!E171),0),0))</f>
        <v>0</v>
      </c>
      <c r="J400" s="324">
        <f>IF('B. Implementation Plan'!P174=0,0,IF(J396&lt;=ROUNDUP(1/'B. Implementation Plan'!P174,0),ROUND(IF(AND(J396-1/'B. Implementation Plan'!P174&lt;1,J396-1/'B. Implementation Plan'!P174&gt;0),J399*MOD(1/'B. Implementation Plan'!P174,1)/(1/'B. Implementation Plan'!P174),MIN(J399-SUM(E400:I400),J399*'B. Implementation Plan'!P174)*(1-'B. Implementation Plan'!E169)*'B. Implementation Plan'!E171),0),0))</f>
        <v>0</v>
      </c>
      <c r="K400" s="324">
        <f>IF('B. Implementation Plan'!P174=0,0,IF(K396&lt;=ROUNDUP(1/'B. Implementation Plan'!P174,0),ROUND(IF(AND(K396-1/'B. Implementation Plan'!P174&lt;1,K396-1/'B. Implementation Plan'!P174&gt;0),K399*MOD(1/'B. Implementation Plan'!P174,1)/(1/'B. Implementation Plan'!P174),MIN(K399-SUM(E400:J400),K399*'B. Implementation Plan'!P174)*(1-'B. Implementation Plan'!E169)*'B. Implementation Plan'!E171),0),0))</f>
        <v>0</v>
      </c>
      <c r="L400" s="324">
        <f>IF('B. Implementation Plan'!P174=0,0,IF(L396&lt;=ROUNDUP(1/'B. Implementation Plan'!P174,0),ROUND(IF(AND(L396-1/'B. Implementation Plan'!P174&lt;1,L396-1/'B. Implementation Plan'!P174&gt;0),L399*MOD(1/'B. Implementation Plan'!P174,1)/(1/'B. Implementation Plan'!P174),MIN(L399-SUM(E400:K400),L399*'B. Implementation Plan'!P174)*(1-'B. Implementation Plan'!E169)*'B. Implementation Plan'!E171),0),0))</f>
        <v>0</v>
      </c>
      <c r="M400" s="324">
        <f>IF('B. Implementation Plan'!P174=0,0,IF(M396&lt;=ROUNDUP(1/'B. Implementation Plan'!P174,0),ROUND(IF(AND(M396-1/'B. Implementation Plan'!P174&lt;1,M396-1/'B. Implementation Plan'!P174&gt;0),M399*MOD(1/'B. Implementation Plan'!P174,1)/(1/'B. Implementation Plan'!P174),MIN(M399-SUM(E400:L400),M399*'B. Implementation Plan'!P174)*(1-'B. Implementation Plan'!E169)*'B. Implementation Plan'!E171),0),0))</f>
        <v>0</v>
      </c>
      <c r="N400" s="324">
        <f>IF('B. Implementation Plan'!P174=0,0,IF(N396&lt;=ROUNDUP(1/'B. Implementation Plan'!P174,0),ROUND(IF(AND(N396-1/'B. Implementation Plan'!P174&lt;1,N396-1/'B. Implementation Plan'!P174&gt;0),N399*MOD(1/'B. Implementation Plan'!P174,1)/(1/'B. Implementation Plan'!P174),MIN(N399-SUM(E400:M400),N399*'B. Implementation Plan'!P174)*(1-'B. Implementation Plan'!E169)*'B. Implementation Plan'!E171),0),0))</f>
        <v>0</v>
      </c>
      <c r="O400" s="324">
        <f>IF('B. Implementation Plan'!P174=0,0,IF(O396&lt;=ROUNDUP(1/'B. Implementation Plan'!P174,0),ROUND(IF(AND(O396-1/'B. Implementation Plan'!P174&lt;1,O396-1/'B. Implementation Plan'!P174&gt;0),O399*MOD(1/'B. Implementation Plan'!P174,1)/(1/'B. Implementation Plan'!P174),MIN(O399-SUM(E400:N400),O399*'B. Implementation Plan'!P174)*(1-'B. Implementation Plan'!E169)*'B. Implementation Plan'!E171),0),0))</f>
        <v>0</v>
      </c>
      <c r="P400" s="325">
        <f ca="1">SUM(E400:O400)</f>
        <v>0</v>
      </c>
    </row>
    <row r="401" spans="3:16" x14ac:dyDescent="0.3">
      <c r="C401" s="326" t="s">
        <v>458</v>
      </c>
      <c r="E401" s="15">
        <f t="shared" ref="E401:O401" ca="1" si="321">MAX(E397-E399,0)</f>
        <v>0</v>
      </c>
      <c r="F401" s="15">
        <f t="shared" ca="1" si="321"/>
        <v>0</v>
      </c>
      <c r="G401" s="15">
        <f t="shared" ca="1" si="321"/>
        <v>0</v>
      </c>
      <c r="H401" s="15">
        <f t="shared" ca="1" si="321"/>
        <v>0</v>
      </c>
      <c r="I401" s="15">
        <f t="shared" ca="1" si="321"/>
        <v>0</v>
      </c>
      <c r="J401" s="15">
        <f t="shared" ca="1" si="321"/>
        <v>0</v>
      </c>
      <c r="K401" s="15">
        <f t="shared" ca="1" si="321"/>
        <v>0</v>
      </c>
      <c r="L401" s="15">
        <f t="shared" ca="1" si="321"/>
        <v>0</v>
      </c>
      <c r="M401" s="15">
        <f t="shared" ca="1" si="321"/>
        <v>0</v>
      </c>
      <c r="N401" s="15">
        <f t="shared" ca="1" si="321"/>
        <v>0</v>
      </c>
      <c r="O401" s="366">
        <f t="shared" ca="1" si="321"/>
        <v>0</v>
      </c>
      <c r="P401" s="354">
        <f ca="1">IF(O401=0,IF(N401=0,IF(M401=0,IF(L401=0,IF(K401=0,IF(J401=0,IF(I401=0,IF(H401=0,IF(G401=0,IF(F401=0,E401,F401),G401),H401),I401),J401),K401),L401),M401),N401),O401)</f>
        <v>0</v>
      </c>
    </row>
    <row r="402" spans="3:16" ht="15" thickBot="1" x14ac:dyDescent="0.35">
      <c r="C402" s="59" t="s">
        <v>461</v>
      </c>
      <c r="E402" s="324">
        <f ca="1">IF(E397&gt;0,E401-D401+ROUND(D401*'B. Implementation Plan'!P147,0),0)</f>
        <v>0</v>
      </c>
      <c r="F402" s="324">
        <f ca="1">IF(F397&gt;0,F401-E401+ROUND(E401*'B. Implementation Plan'!P147,0),0)</f>
        <v>0</v>
      </c>
      <c r="G402" s="324">
        <f ca="1">IF(G397&gt;0,G401-F401+ROUND(F401*'B. Implementation Plan'!P147,0),0)</f>
        <v>0</v>
      </c>
      <c r="H402" s="324">
        <f ca="1">IF(H397&gt;0,H401-G401+ROUND(G401*'B. Implementation Plan'!P147,0),0)</f>
        <v>0</v>
      </c>
      <c r="I402" s="324">
        <f ca="1">IF(I397&gt;0,I401-H401+ROUND(H401*'B. Implementation Plan'!P147,0),0)</f>
        <v>0</v>
      </c>
      <c r="J402" s="324">
        <f ca="1">IF(J397&gt;0,J401-I401+ROUND(I401*'B. Implementation Plan'!P147,0),0)</f>
        <v>0</v>
      </c>
      <c r="K402" s="324">
        <f ca="1">IF(K397&gt;0,K401-J401+ROUND(J401*'B. Implementation Plan'!P147,0),0)</f>
        <v>0</v>
      </c>
      <c r="L402" s="324">
        <f ca="1">IF(L397&gt;0,L401-K401+ROUND(K401*'B. Implementation Plan'!P147,0),0)</f>
        <v>0</v>
      </c>
      <c r="M402" s="324">
        <f ca="1">IF(M397&gt;0,M401-L401+ROUND(L401*'B. Implementation Plan'!P147,0),0)</f>
        <v>0</v>
      </c>
      <c r="N402" s="324">
        <f ca="1">IF(N397&gt;0,N401-M401+ROUND(M401*'B. Implementation Plan'!P147,0),0)</f>
        <v>0</v>
      </c>
      <c r="O402" s="367">
        <f ca="1">IF(O397&gt;0,O401-N401+ROUND(N401*'B. Implementation Plan'!P147,0),0)</f>
        <v>0</v>
      </c>
      <c r="P402" s="79">
        <f ca="1">IF(O402=0,IF(N402=0,IF(M402=0,IF(L402=0,IF(K402=0,IF(J402=0,IF(I402=0,IF(H402=0,IF(G402=0,IF(F402=0,E402,F402),G402),H402),I402),J402),K402),L402),M402),N402),O402)</f>
        <v>0</v>
      </c>
    </row>
    <row r="403" spans="3:16" ht="15" thickBot="1" x14ac:dyDescent="0.35">
      <c r="C403" s="59" t="s">
        <v>485</v>
      </c>
    </row>
    <row r="404" spans="3:16" ht="15.6" x14ac:dyDescent="0.3">
      <c r="C404" s="326" t="s">
        <v>481</v>
      </c>
      <c r="F404" s="149">
        <v>1</v>
      </c>
      <c r="G404" s="149">
        <v>2</v>
      </c>
      <c r="H404" s="149">
        <v>3</v>
      </c>
      <c r="I404" s="149">
        <v>4</v>
      </c>
      <c r="J404" s="149">
        <v>5</v>
      </c>
      <c r="K404" s="149">
        <v>6</v>
      </c>
      <c r="L404" s="149">
        <v>7</v>
      </c>
      <c r="M404" s="149">
        <v>8</v>
      </c>
      <c r="N404" s="149">
        <v>9</v>
      </c>
      <c r="O404" s="374">
        <v>10</v>
      </c>
      <c r="P404" s="351" t="s">
        <v>2</v>
      </c>
    </row>
    <row r="405" spans="3:16" s="365" customFormat="1" x14ac:dyDescent="0.3">
      <c r="C405" s="370">
        <v>1</v>
      </c>
      <c r="E405"/>
      <c r="F405" s="347">
        <f>IF($C405&lt;=ROUNDUP('B. Implementation Plan'!P177,0),ROUND(IF(AND($C405-'B. Implementation Plan'!P177&lt;1,$C405-'B. Implementation Plan'!P177&gt;0),MOD('B. Implementation Plan'!P177,1)*F400*1*(1-'B. Implementation Plan'!P147)^($C405-1),F400*1*(1-'B. Implementation Plan'!P147)^($C405-1)),0),0)</f>
        <v>0</v>
      </c>
      <c r="G405" s="347">
        <f>IF($C405&lt;=ROUNDUP('B. Implementation Plan'!P177,0),ROUND(IF(AND($C405-'B. Implementation Plan'!P177&lt;1,$C405-'B. Implementation Plan'!P177&gt;0),MOD('B. Implementation Plan'!P177,1)*G400*1*(1-'B. Implementation Plan'!P147)^($C405-1),G400*1*(1-'B. Implementation Plan'!P147)^($C405-1)),0),0)</f>
        <v>0</v>
      </c>
      <c r="H405" s="347">
        <f>IF($C405&lt;=ROUNDUP('B. Implementation Plan'!P177,0),ROUND(IF(AND($C405-'B. Implementation Plan'!P177&lt;1,$C405-'B. Implementation Plan'!P177&gt;0),MOD('B. Implementation Plan'!P177,1)*H400*1*(1-'B. Implementation Plan'!P147)^($C405-1),H400*1*(1-'B. Implementation Plan'!P147)^($C405-1)),0),0)</f>
        <v>0</v>
      </c>
      <c r="I405" s="347">
        <f>IF($C405&lt;=ROUNDUP('B. Implementation Plan'!P177,0),ROUND(IF(AND($C405-'B. Implementation Plan'!P177&lt;1,$C405-'B. Implementation Plan'!P177&gt;0),MOD('B. Implementation Plan'!P177,1)*I400*1*(1-'B. Implementation Plan'!P147)^($C405-1),I400*1*(1-'B. Implementation Plan'!P147)^($C405-1)),0),0)</f>
        <v>0</v>
      </c>
      <c r="J405" s="347">
        <f>IF($C405&lt;=ROUNDUP('B. Implementation Plan'!P177,0),ROUND(IF(AND($C405-'B. Implementation Plan'!P177&lt;1,$C405-'B. Implementation Plan'!P177&gt;0),MOD('B. Implementation Plan'!P177,1)*J400*1*(1-'B. Implementation Plan'!P147)^($C405-1),J400*1*(1-'B. Implementation Plan'!P147)^($C405-1)),0),0)</f>
        <v>0</v>
      </c>
      <c r="K405" s="347">
        <f>IF($C405&lt;=ROUNDUP('B. Implementation Plan'!P177,0),ROUND(IF(AND($C405-'B. Implementation Plan'!P177&lt;1,$C405-'B. Implementation Plan'!P177&gt;0),MOD('B. Implementation Plan'!P177,1)*K400*1*(1-'B. Implementation Plan'!P147)^($C405-1),K400*1*(1-'B. Implementation Plan'!P147)^($C405-1)),0),0)</f>
        <v>0</v>
      </c>
      <c r="L405" s="347">
        <f>IF($C405&lt;=ROUNDUP('B. Implementation Plan'!P177,0),ROUND(IF(AND($C405-'B. Implementation Plan'!P177&lt;1,$C405-'B. Implementation Plan'!P177&gt;0),MOD('B. Implementation Plan'!P177,1)*L400*1*(1-'B. Implementation Plan'!P147)^($C405-1),L400*1*(1-'B. Implementation Plan'!P147)^($C405-1)),0),0)</f>
        <v>0</v>
      </c>
      <c r="M405" s="347">
        <f>IF($C405&lt;=ROUNDUP('B. Implementation Plan'!P177,0),ROUND(IF(AND($C405-'B. Implementation Plan'!P177&lt;1,$C405-'B. Implementation Plan'!P177&gt;0),MOD('B. Implementation Plan'!P177,1)*M400*1*(1-'B. Implementation Plan'!P147)^($C405-1),M400*1*(1-'B. Implementation Plan'!P147)^($C405-1)),0),0)</f>
        <v>0</v>
      </c>
      <c r="N405" s="347">
        <f>IF($C405&lt;=ROUNDUP('B. Implementation Plan'!P177,0),ROUND(IF(AND($C405-'B. Implementation Plan'!P177&lt;1,$C405-'B. Implementation Plan'!P177&gt;0),MOD('B. Implementation Plan'!P177,1)*N400*1*(1-'B. Implementation Plan'!P147)^($C405-1),N400*1*(1-'B. Implementation Plan'!P147)^($C405-1)),0),0)</f>
        <v>0</v>
      </c>
      <c r="O405" s="347">
        <f>IF($C405&lt;=ROUNDUP('B. Implementation Plan'!P177,0),ROUND(IF(AND($C405-'B. Implementation Plan'!P177&lt;1,$C405-'B. Implementation Plan'!P177&gt;0),MOD('B. Implementation Plan'!P177,1)*O400*1*(1-'B. Implementation Plan'!P147)^($C405-1),O400*1*(1-'B. Implementation Plan'!P147)^($C405-1)),0),0)</f>
        <v>0</v>
      </c>
      <c r="P405" s="78" t="str">
        <f>IF(SUM(F405:O405)&gt;0,SUM(F405:O405),"")</f>
        <v/>
      </c>
    </row>
    <row r="406" spans="3:16" s="365" customFormat="1" x14ac:dyDescent="0.3">
      <c r="C406" s="370">
        <v>2</v>
      </c>
      <c r="E406"/>
      <c r="F406"/>
      <c r="G406" s="347">
        <f>IF($C406&lt;=ROUNDUP('B. Implementation Plan'!P177,0),ROUND(IF(AND($C406-'B. Implementation Plan'!P177&lt;1,$C406-'B. Implementation Plan'!P177&gt;0),MOD('B. Implementation Plan'!P177,1)*F400*1*(1-'B. Implementation Plan'!P147)^($C406-1),F400*1*(1-'B. Implementation Plan'!P147)^($C406-1)),0),0)</f>
        <v>0</v>
      </c>
      <c r="H406" s="347">
        <f>IF($C406&lt;=ROUNDUP('B. Implementation Plan'!P177,0),ROUND(IF(AND($C406-'B. Implementation Plan'!P177&lt;1,$C406-'B. Implementation Plan'!P177&gt;0),MOD('B. Implementation Plan'!P177,1)*G400*1*(1-'B. Implementation Plan'!P147)^($C406-1),G400*1*(1-'B. Implementation Plan'!P147)^($C406-1)),0),0)</f>
        <v>0</v>
      </c>
      <c r="I406" s="347">
        <f>IF($C406&lt;=ROUNDUP('B. Implementation Plan'!P177,0),ROUND(IF(AND($C406-'B. Implementation Plan'!P177&lt;1,$C406-'B. Implementation Plan'!P177&gt;0),MOD('B. Implementation Plan'!P177,1)*H400*1*(1-'B. Implementation Plan'!P147)^($C406-1),H400*1*(1-'B. Implementation Plan'!P147)^($C406-1)),0),0)</f>
        <v>0</v>
      </c>
      <c r="J406" s="347">
        <f>IF($C406&lt;=ROUNDUP('B. Implementation Plan'!P177,0),ROUND(IF(AND($C406-'B. Implementation Plan'!P177&lt;1,$C406-'B. Implementation Plan'!P177&gt;0),MOD('B. Implementation Plan'!P177,1)*I400*1*(1-'B. Implementation Plan'!P147)^($C406-1),I400*1*(1-'B. Implementation Plan'!P147)^($C406-1)),0),0)</f>
        <v>0</v>
      </c>
      <c r="K406" s="347">
        <f>IF($C406&lt;=ROUNDUP('B. Implementation Plan'!P177,0),ROUND(IF(AND($C406-'B. Implementation Plan'!P177&lt;1,$C406-'B. Implementation Plan'!P177&gt;0),MOD('B. Implementation Plan'!P177,1)*J400*1*(1-'B. Implementation Plan'!P147)^($C406-1),J400*1*(1-'B. Implementation Plan'!P147)^($C406-1)),0),0)</f>
        <v>0</v>
      </c>
      <c r="L406" s="347">
        <f>IF($C406&lt;=ROUNDUP('B. Implementation Plan'!P177,0),ROUND(IF(AND($C406-'B. Implementation Plan'!P177&lt;1,$C406-'B. Implementation Plan'!P177&gt;0),MOD('B. Implementation Plan'!P177,1)*K400*1*(1-'B. Implementation Plan'!P147)^($C406-1),K400*1*(1-'B. Implementation Plan'!P147)^($C406-1)),0),0)</f>
        <v>0</v>
      </c>
      <c r="M406" s="347">
        <f>IF($C406&lt;=ROUNDUP('B. Implementation Plan'!P177,0),ROUND(IF(AND($C406-'B. Implementation Plan'!P177&lt;1,$C406-'B. Implementation Plan'!P177&gt;0),MOD('B. Implementation Plan'!P177,1)*L400*1*(1-'B. Implementation Plan'!P147)^($C406-1),L400*1*(1-'B. Implementation Plan'!P147)^($C406-1)),0),0)</f>
        <v>0</v>
      </c>
      <c r="N406" s="347">
        <f>IF($C406&lt;=ROUNDUP('B. Implementation Plan'!P177,0),ROUND(IF(AND($C406-'B. Implementation Plan'!P177&lt;1,$C406-'B. Implementation Plan'!P177&gt;0),MOD('B. Implementation Plan'!P177,1)*M400*1*(1-'B. Implementation Plan'!P147)^($C406-1),M400*1*(1-'B. Implementation Plan'!P147)^($C406-1)),0),0)</f>
        <v>0</v>
      </c>
      <c r="O406" s="347">
        <f>IF($C406&lt;=ROUNDUP('B. Implementation Plan'!P177,0),ROUND(IF(AND($C406-'B. Implementation Plan'!P177&lt;1,$C406-'B. Implementation Plan'!P177&gt;0),MOD('B. Implementation Plan'!P177,1)*N400*1*(1-'B. Implementation Plan'!P147)^($C406-1),N400*1*(1-'B. Implementation Plan'!P147)^($C406-1)),0),0)</f>
        <v>0</v>
      </c>
      <c r="P406" s="78" t="str">
        <f t="shared" ref="P406:P414" si="322">IF(SUM(F406:O406)&gt;0,SUM(F406:O406),"")</f>
        <v/>
      </c>
    </row>
    <row r="407" spans="3:16" s="365" customFormat="1" x14ac:dyDescent="0.3">
      <c r="C407" s="370">
        <v>3</v>
      </c>
      <c r="E407"/>
      <c r="F407"/>
      <c r="G407"/>
      <c r="H407" s="347">
        <f>IF($C407&lt;=ROUNDUP('B. Implementation Plan'!P177,0),ROUND(IF(AND($C407-'B. Implementation Plan'!P177&lt;1,$C407-'B. Implementation Plan'!P177&gt;0),MOD('B. Implementation Plan'!P177,1)*F400*1*(1-'B. Implementation Plan'!P147)^($C407-1),F400*1*(1-'B. Implementation Plan'!P147)^($C407-1)),0),0)</f>
        <v>0</v>
      </c>
      <c r="I407" s="347">
        <f>IF($C407&lt;=ROUNDUP('B. Implementation Plan'!P177,0),ROUND(IF(AND($C407-'B. Implementation Plan'!P177&lt;1,$C407-'B. Implementation Plan'!P177&gt;0),MOD('B. Implementation Plan'!P177,1)*G400*1*(1-'B. Implementation Plan'!P147)^($C407-1),G400*1*(1-'B. Implementation Plan'!P147)^($C407-1)),0),0)</f>
        <v>0</v>
      </c>
      <c r="J407" s="347">
        <f>IF($C407&lt;=ROUNDUP('B. Implementation Plan'!P177,0),ROUND(IF(AND($C407-'B. Implementation Plan'!P177&lt;1,$C407-'B. Implementation Plan'!P177&gt;0),MOD('B. Implementation Plan'!P177,1)*H400*1*(1-'B. Implementation Plan'!P147)^($C407-1),H400*1*(1-'B. Implementation Plan'!P147)^($C407-1)),0),0)</f>
        <v>0</v>
      </c>
      <c r="K407" s="347">
        <f>IF($C407&lt;=ROUNDUP('B. Implementation Plan'!P177,0),ROUND(IF(AND($C407-'B. Implementation Plan'!P177&lt;1,$C407-'B. Implementation Plan'!P177&gt;0),MOD('B. Implementation Plan'!P177,1)*I400*1*(1-'B. Implementation Plan'!P147)^($C407-1),I400*1*(1-'B. Implementation Plan'!P147)^($C407-1)),0),0)</f>
        <v>0</v>
      </c>
      <c r="L407" s="347">
        <f>IF($C407&lt;=ROUNDUP('B. Implementation Plan'!P177,0),ROUND(IF(AND($C407-'B. Implementation Plan'!P177&lt;1,$C407-'B. Implementation Plan'!P177&gt;0),MOD('B. Implementation Plan'!P177,1)*J400*1*(1-'B. Implementation Plan'!P147)^($C407-1),J400*1*(1-'B. Implementation Plan'!P147)^($C407-1)),0),0)</f>
        <v>0</v>
      </c>
      <c r="M407" s="347">
        <f>IF($C407&lt;=ROUNDUP('B. Implementation Plan'!P177,0),ROUND(IF(AND($C407-'B. Implementation Plan'!P177&lt;1,$C407-'B. Implementation Plan'!P177&gt;0),MOD('B. Implementation Plan'!P177,1)*K400*1*(1-'B. Implementation Plan'!P147)^($C407-1),K400*1*(1-'B. Implementation Plan'!P147)^($C407-1)),0),0)</f>
        <v>0</v>
      </c>
      <c r="N407" s="347">
        <f>IF($C407&lt;=ROUNDUP('B. Implementation Plan'!P177,0),ROUND(IF(AND($C407-'B. Implementation Plan'!P177&lt;1,$C407-'B. Implementation Plan'!P177&gt;0),MOD('B. Implementation Plan'!P177,1)*L400*1*(1-'B. Implementation Plan'!P147)^($C407-1),L400*1*(1-'B. Implementation Plan'!P147)^($C407-1)),0),0)</f>
        <v>0</v>
      </c>
      <c r="O407" s="347">
        <f>IF($C407&lt;=ROUNDUP('B. Implementation Plan'!P177,0),ROUND(IF(AND($C407-'B. Implementation Plan'!P177&lt;1,$C407-'B. Implementation Plan'!P177&gt;0),MOD('B. Implementation Plan'!P177,1)*M400*1*(1-'B. Implementation Plan'!P147)^($C407-1),M400*1*(1-'B. Implementation Plan'!P147)^($C407-1)),0),0)</f>
        <v>0</v>
      </c>
      <c r="P407" s="78" t="str">
        <f t="shared" si="322"/>
        <v/>
      </c>
    </row>
    <row r="408" spans="3:16" s="365" customFormat="1" x14ac:dyDescent="0.3">
      <c r="C408" s="370">
        <v>4</v>
      </c>
      <c r="E408"/>
      <c r="F408"/>
      <c r="G408"/>
      <c r="H408"/>
      <c r="I408" s="347">
        <f>IF($C408&lt;=ROUNDUP('B. Implementation Plan'!P177,0),ROUND(IF(AND($C408-'B. Implementation Plan'!P177&lt;1,$C408-'B. Implementation Plan'!P177&gt;0),MOD('B. Implementation Plan'!P177,1)*F400*1*(1-'B. Implementation Plan'!P147)^($C408-1),F400*1*(1-'B. Implementation Plan'!P147)^($C408-1)),0),0)</f>
        <v>0</v>
      </c>
      <c r="J408" s="347">
        <f>IF($C408&lt;=ROUNDUP('B. Implementation Plan'!P177,0),ROUND(IF(AND($C408-'B. Implementation Plan'!P177&lt;1,$C408-'B. Implementation Plan'!P177&gt;0),MOD('B. Implementation Plan'!P177,1)*G400*1*(1-'B. Implementation Plan'!P147)^($C408-1),G400*1*(1-'B. Implementation Plan'!P147)^($C408-1)),0),0)</f>
        <v>0</v>
      </c>
      <c r="K408" s="347">
        <f>IF($C408&lt;=ROUNDUP('B. Implementation Plan'!P177,0),ROUND(IF(AND($C408-'B. Implementation Plan'!P177&lt;1,$C408-'B. Implementation Plan'!P177&gt;0),MOD('B. Implementation Plan'!P177,1)*H400*1*(1-'B. Implementation Plan'!P147)^($C408-1),H400*1*(1-'B. Implementation Plan'!P147)^($C408-1)),0),0)</f>
        <v>0</v>
      </c>
      <c r="L408" s="347">
        <f>IF($C408&lt;=ROUNDUP('B. Implementation Plan'!P177,0),ROUND(IF(AND($C408-'B. Implementation Plan'!P177&lt;1,$C408-'B. Implementation Plan'!P177&gt;0),MOD('B. Implementation Plan'!P177,1)*I400*1*(1-'B. Implementation Plan'!P147)^($C408-1),I400*1*(1-'B. Implementation Plan'!P147)^($C408-1)),0),0)</f>
        <v>0</v>
      </c>
      <c r="M408" s="347">
        <f>IF($C408&lt;=ROUNDUP('B. Implementation Plan'!P177,0),ROUND(IF(AND($C408-'B. Implementation Plan'!P177&lt;1,$C408-'B. Implementation Plan'!P177&gt;0),MOD('B. Implementation Plan'!P177,1)*J400*1*(1-'B. Implementation Plan'!P147)^($C408-1),J400*1*(1-'B. Implementation Plan'!P147)^($C408-1)),0),0)</f>
        <v>0</v>
      </c>
      <c r="N408" s="347">
        <f>IF($C408&lt;=ROUNDUP('B. Implementation Plan'!P177,0),ROUND(IF(AND($C408-'B. Implementation Plan'!P177&lt;1,$C408-'B. Implementation Plan'!P177&gt;0),MOD('B. Implementation Plan'!P177,1)*K400*1*(1-'B. Implementation Plan'!P147)^($C408-1),K400*1*(1-'B. Implementation Plan'!P147)^($C408-1)),0),0)</f>
        <v>0</v>
      </c>
      <c r="O408" s="347">
        <f>IF($C408&lt;=ROUNDUP('B. Implementation Plan'!P177,0),ROUND(IF(AND($C408-'B. Implementation Plan'!P177&lt;1,$C408-'B. Implementation Plan'!P177&gt;0),MOD('B. Implementation Plan'!P177,1)*L400*1*(1-'B. Implementation Plan'!P147)^($C408-1),L400*1*(1-'B. Implementation Plan'!P147)^($C408-1)),0),0)</f>
        <v>0</v>
      </c>
      <c r="P408" s="78" t="str">
        <f t="shared" si="322"/>
        <v/>
      </c>
    </row>
    <row r="409" spans="3:16" s="365" customFormat="1" x14ac:dyDescent="0.3">
      <c r="C409" s="370">
        <v>5</v>
      </c>
      <c r="E409"/>
      <c r="F409"/>
      <c r="G409"/>
      <c r="H409"/>
      <c r="I409"/>
      <c r="J409" s="347">
        <f>IF($C409&lt;=ROUNDUP('B. Implementation Plan'!P177,0),ROUND(IF(AND($C409-'B. Implementation Plan'!P177&lt;1,$C409-'B. Implementation Plan'!P177&gt;0),MOD('B. Implementation Plan'!P177,1)*F400*1*(1-'B. Implementation Plan'!P147)^($C409-1),F400*1*(1-'B. Implementation Plan'!P147)^($C409-1)),0),0)</f>
        <v>0</v>
      </c>
      <c r="K409" s="347">
        <f>IF($C409&lt;=ROUNDUP('B. Implementation Plan'!P177,0),ROUND(IF(AND($C409-'B. Implementation Plan'!P177&lt;1,$C409-'B. Implementation Plan'!P177&gt;0),MOD('B. Implementation Plan'!P177,1)*G400*1*(1-'B. Implementation Plan'!P147)^($C409-1),G400*1*(1-'B. Implementation Plan'!P147)^($C409-1)),0),0)</f>
        <v>0</v>
      </c>
      <c r="L409" s="347">
        <f>IF($C409&lt;=ROUNDUP('B. Implementation Plan'!P177,0),ROUND(IF(AND($C409-'B. Implementation Plan'!P177&lt;1,$C409-'B. Implementation Plan'!P177&gt;0),MOD('B. Implementation Plan'!P177,1)*H400*1*(1-'B. Implementation Plan'!P147)^($C409-1),H400*1*(1-'B. Implementation Plan'!P147)^($C409-1)),0),0)</f>
        <v>0</v>
      </c>
      <c r="M409" s="347">
        <f>IF($C409&lt;=ROUNDUP('B. Implementation Plan'!P177,0),ROUND(IF(AND($C409-'B. Implementation Plan'!P177&lt;1,$C409-'B. Implementation Plan'!P177&gt;0),MOD('B. Implementation Plan'!P177,1)*I400*1*(1-'B. Implementation Plan'!P147)^($C409-1),I400*1*(1-'B. Implementation Plan'!P147)^($C409-1)),0),0)</f>
        <v>0</v>
      </c>
      <c r="N409" s="347">
        <f>IF($C409&lt;=ROUNDUP('B. Implementation Plan'!P177,0),ROUND(IF(AND($C409-'B. Implementation Plan'!P177&lt;1,$C409-'B. Implementation Plan'!P177&gt;0),MOD('B. Implementation Plan'!P177,1)*J400*1*(1-'B. Implementation Plan'!P147)^($C409-1),J400*1*(1-'B. Implementation Plan'!P147)^($C409-1)),0),0)</f>
        <v>0</v>
      </c>
      <c r="O409" s="347">
        <f>IF($C409&lt;=ROUNDUP('B. Implementation Plan'!P177,0),ROUND(IF(AND($C409-'B. Implementation Plan'!P177&lt;1,$C409-'B. Implementation Plan'!P177&gt;0),MOD('B. Implementation Plan'!P177,1)*K400*1*(1-'B. Implementation Plan'!P147)^($C409-1),K400*1*(1-'B. Implementation Plan'!P147)^($C409-1)),0),0)</f>
        <v>0</v>
      </c>
      <c r="P409" s="78" t="str">
        <f t="shared" si="322"/>
        <v/>
      </c>
    </row>
    <row r="410" spans="3:16" s="365" customFormat="1" x14ac:dyDescent="0.3">
      <c r="C410" s="370">
        <v>6</v>
      </c>
      <c r="E410"/>
      <c r="F410"/>
      <c r="G410"/>
      <c r="H410"/>
      <c r="I410"/>
      <c r="J410"/>
      <c r="K410" s="347">
        <f>IF($C410&lt;=ROUNDUP('B. Implementation Plan'!P177,0),ROUND(IF(AND($C410-'B. Implementation Plan'!P177&lt;1,$C410-'B. Implementation Plan'!P177&gt;0),MOD('B. Implementation Plan'!P177,1)*F400*1*(1-'B. Implementation Plan'!P147)^($C410-1),F400*1*(1-'B. Implementation Plan'!P147)^($C410-1)),0),0)</f>
        <v>0</v>
      </c>
      <c r="L410" s="347">
        <f>IF($C410&lt;=ROUNDUP('B. Implementation Plan'!P177,0),ROUND(IF(AND($C410-'B. Implementation Plan'!P177&lt;1,$C410-'B. Implementation Plan'!P177&gt;0),MOD('B. Implementation Plan'!P177,1)*G400*1*(1-'B. Implementation Plan'!P147)^($C410-1),G400*1*(1-'B. Implementation Plan'!P147)^($C410-1)),0),0)</f>
        <v>0</v>
      </c>
      <c r="M410" s="347">
        <f>IF($C410&lt;=ROUNDUP('B. Implementation Plan'!P177,0),ROUND(IF(AND($C410-'B. Implementation Plan'!P177&lt;1,$C410-'B. Implementation Plan'!P177&gt;0),MOD('B. Implementation Plan'!P177,1)*H400*1*(1-'B. Implementation Plan'!P147)^($C410-1),H400*1*(1-'B. Implementation Plan'!P147)^($C410-1)),0),0)</f>
        <v>0</v>
      </c>
      <c r="N410" s="347">
        <f>IF($C410&lt;=ROUNDUP('B. Implementation Plan'!P177,0),ROUND(IF(AND($C410-'B. Implementation Plan'!P177&lt;1,$C410-'B. Implementation Plan'!P177&gt;0),MOD('B. Implementation Plan'!P177,1)*I400*1*(1-'B. Implementation Plan'!P147)^($C410-1),I400*1*(1-'B. Implementation Plan'!P147)^($C410-1)),0),0)</f>
        <v>0</v>
      </c>
      <c r="O410" s="347">
        <f>IF($C410&lt;=ROUNDUP('B. Implementation Plan'!P177,0),ROUND(IF(AND($C410-'B. Implementation Plan'!P177&lt;1,$C410-'B. Implementation Plan'!P177&gt;0),MOD('B. Implementation Plan'!P177,1)*J400*1*(1-'B. Implementation Plan'!P147)^($C410-1),J400*1*(1-'B. Implementation Plan'!P147)^($C410-1)),0),0)</f>
        <v>0</v>
      </c>
      <c r="P410" s="78" t="str">
        <f t="shared" si="322"/>
        <v/>
      </c>
    </row>
    <row r="411" spans="3:16" s="365" customFormat="1" x14ac:dyDescent="0.3">
      <c r="C411" s="370">
        <v>7</v>
      </c>
      <c r="E411"/>
      <c r="F411"/>
      <c r="G411"/>
      <c r="H411"/>
      <c r="I411"/>
      <c r="J411"/>
      <c r="K411"/>
      <c r="L411" s="347">
        <f>IF($C411&lt;=ROUNDUP('B. Implementation Plan'!P177,0),ROUND(IF(AND($C411-'B. Implementation Plan'!P177&lt;1,$C411-'B. Implementation Plan'!P177&gt;0),MOD('B. Implementation Plan'!P177,1)*F400*1*(1-'B. Implementation Plan'!P147)^($C411-1),F400*1*(1-'B. Implementation Plan'!P147)^($C411-1)),0),0)</f>
        <v>0</v>
      </c>
      <c r="M411" s="347">
        <f>IF($C411&lt;=ROUNDUP('B. Implementation Plan'!P177,0),ROUND(IF(AND($C411-'B. Implementation Plan'!P177&lt;1,$C411-'B. Implementation Plan'!P177&gt;0),MOD('B. Implementation Plan'!P177,1)*G400*1*(1-'B. Implementation Plan'!P147)^($C411-1),G400*1*(1-'B. Implementation Plan'!P147)^($C411-1)),0),0)</f>
        <v>0</v>
      </c>
      <c r="N411" s="347">
        <f>IF($C411&lt;=ROUNDUP('B. Implementation Plan'!P177,0),ROUND(IF(AND($C411-'B. Implementation Plan'!P177&lt;1,$C411-'B. Implementation Plan'!P177&gt;0),MOD('B. Implementation Plan'!P177,1)*H400*1*(1-'B. Implementation Plan'!P147)^($C411-1),H400*1*(1-'B. Implementation Plan'!P147)^($C411-1)),0),0)</f>
        <v>0</v>
      </c>
      <c r="O411" s="347">
        <f>IF($C411&lt;=ROUNDUP('B. Implementation Plan'!P177,0),ROUND(IF(AND($C411-'B. Implementation Plan'!P177&lt;1,$C411-'B. Implementation Plan'!P177&gt;0),MOD('B. Implementation Plan'!P177,1)*I400*1*(1-'B. Implementation Plan'!P147)^($C411-1),I400*1*(1-'B. Implementation Plan'!P147)^($C411-1)),0),0)</f>
        <v>0</v>
      </c>
      <c r="P411" s="78" t="str">
        <f t="shared" si="322"/>
        <v/>
      </c>
    </row>
    <row r="412" spans="3:16" s="365" customFormat="1" x14ac:dyDescent="0.3">
      <c r="C412" s="370">
        <v>8</v>
      </c>
      <c r="E412"/>
      <c r="F412"/>
      <c r="G412"/>
      <c r="H412"/>
      <c r="I412"/>
      <c r="J412"/>
      <c r="K412"/>
      <c r="L412"/>
      <c r="M412" s="347">
        <f>IF($C412&lt;=ROUNDUP('B. Implementation Plan'!P177,0),ROUND(IF(AND($C412-'B. Implementation Plan'!P177&lt;1,$C412-'B. Implementation Plan'!P177&gt;0),MOD('B. Implementation Plan'!P177,1)*F400*1*(1-'B. Implementation Plan'!P147)^($C412-1),F400*1*(1-'B. Implementation Plan'!P147)^($C412-1)),0),0)</f>
        <v>0</v>
      </c>
      <c r="N412" s="347">
        <f>IF($C412&lt;=ROUNDUP('B. Implementation Plan'!P177,0),ROUND(IF(AND($C412-'B. Implementation Plan'!P177&lt;1,$C412-'B. Implementation Plan'!P177&gt;0),MOD('B. Implementation Plan'!P177,1)*G400*1*(1-'B. Implementation Plan'!P147)^($C412-1),G400*1*(1-'B. Implementation Plan'!P147)^($C412-1)),0),0)</f>
        <v>0</v>
      </c>
      <c r="O412" s="347">
        <f>IF($C412&lt;=ROUNDUP('B. Implementation Plan'!P177,0),ROUND(IF(AND($C412-'B. Implementation Plan'!P177&lt;1,$C412-'B. Implementation Plan'!P177&gt;0),MOD('B. Implementation Plan'!P177,1)*H400*1*(1-'B. Implementation Plan'!P147)^($C412-1),H400*1*(1-'B. Implementation Plan'!P147)^($C412-1)),0),0)</f>
        <v>0</v>
      </c>
      <c r="P412" s="78" t="str">
        <f t="shared" si="322"/>
        <v/>
      </c>
    </row>
    <row r="413" spans="3:16" s="365" customFormat="1" x14ac:dyDescent="0.3">
      <c r="C413" s="370">
        <v>9</v>
      </c>
      <c r="E413"/>
      <c r="F413"/>
      <c r="G413"/>
      <c r="H413"/>
      <c r="I413"/>
      <c r="J413"/>
      <c r="K413"/>
      <c r="L413"/>
      <c r="M413"/>
      <c r="N413" s="347">
        <f>IF($C413&lt;=ROUNDUP('B. Implementation Plan'!P177,0),ROUND(IF(AND($C413-'B. Implementation Plan'!P177&lt;1,$C413-'B. Implementation Plan'!P177&gt;0),MOD('B. Implementation Plan'!P177,1)*F400*1*(1-'B. Implementation Plan'!P147)^($C413-1),F400*1*(1-'B. Implementation Plan'!P147)^($C413-1)),0),0)</f>
        <v>0</v>
      </c>
      <c r="O413" s="347">
        <f>IF($C413&lt;=ROUNDUP('B. Implementation Plan'!P177,0),ROUND(IF(AND($C413-'B. Implementation Plan'!P177&lt;1,$C413-'B. Implementation Plan'!P177&gt;0),MOD('B. Implementation Plan'!P177,1)*G400*1*(1-'B. Implementation Plan'!P147)^($C413-1),G400*1*(1-'B. Implementation Plan'!P147)^($C413-1)),0),0)</f>
        <v>0</v>
      </c>
      <c r="P413" s="78" t="str">
        <f t="shared" si="322"/>
        <v/>
      </c>
    </row>
    <row r="414" spans="3:16" s="365" customFormat="1" x14ac:dyDescent="0.3">
      <c r="C414" s="370">
        <v>10</v>
      </c>
      <c r="E414"/>
      <c r="F414"/>
      <c r="G414"/>
      <c r="H414"/>
      <c r="I414"/>
      <c r="J414"/>
      <c r="K414"/>
      <c r="L414"/>
      <c r="M414"/>
      <c r="N414" s="19"/>
      <c r="O414" s="347">
        <f>IF($C414&lt;=ROUNDUP('B. Implementation Plan'!P177,0),ROUND(IF(AND($C414-'B. Implementation Plan'!P177&lt;1,$C414-'B. Implementation Plan'!P177&gt;0),MOD('B. Implementation Plan'!P177,1)*F400*1*(1-'B. Implementation Plan'!P147)^($C414-1),F400*1*(1-'B. Implementation Plan'!P147)^($C414-1)),0),0)</f>
        <v>0</v>
      </c>
      <c r="P414" s="78" t="str">
        <f t="shared" si="322"/>
        <v/>
      </c>
    </row>
    <row r="415" spans="3:16" s="1" customFormat="1" x14ac:dyDescent="0.3">
      <c r="C415" s="376" t="s">
        <v>488</v>
      </c>
      <c r="E415"/>
      <c r="F415" s="371">
        <f t="shared" ref="F415" ca="1" si="323">IF(F397&gt;0,SUM(F405:F414),0)</f>
        <v>0</v>
      </c>
      <c r="G415" s="371">
        <f t="shared" ref="G415" ca="1" si="324">IF(G397&gt;0,SUM(G405:G414),0)</f>
        <v>0</v>
      </c>
      <c r="H415" s="371">
        <f t="shared" ref="H415" ca="1" si="325">IF(H397&gt;0,SUM(H405:H414),0)</f>
        <v>0</v>
      </c>
      <c r="I415" s="371">
        <f t="shared" ref="I415" ca="1" si="326">IF(I397&gt;0,SUM(I405:I414),0)</f>
        <v>0</v>
      </c>
      <c r="J415" s="371">
        <f t="shared" ref="J415" ca="1" si="327">IF(J397&gt;0,SUM(J405:J414),0)</f>
        <v>0</v>
      </c>
      <c r="K415" s="371">
        <f t="shared" ref="K415" ca="1" si="328">IF(K397&gt;0,SUM(K405:K414),0)</f>
        <v>0</v>
      </c>
      <c r="L415" s="371">
        <f t="shared" ref="L415" ca="1" si="329">IF(L397&gt;0,SUM(L405:L414),0)</f>
        <v>0</v>
      </c>
      <c r="M415" s="371">
        <f t="shared" ref="M415" ca="1" si="330">IF(M397&gt;0,SUM(M405:M414),0)</f>
        <v>0</v>
      </c>
      <c r="N415" s="371">
        <f t="shared" ref="N415" ca="1" si="331">IF(N397&gt;0,SUM(N405:N414),0)</f>
        <v>0</v>
      </c>
      <c r="O415" s="371">
        <f t="shared" ref="O415" ca="1" si="332">IF(O397&gt;0,SUM(O405:O414),0)</f>
        <v>0</v>
      </c>
      <c r="P415" s="325">
        <f ca="1">SUM(E415:O415)</f>
        <v>0</v>
      </c>
    </row>
    <row r="416" spans="3:16" s="1" customFormat="1" x14ac:dyDescent="0.3">
      <c r="C416" s="353" t="s">
        <v>491</v>
      </c>
      <c r="E416"/>
      <c r="F416" s="324">
        <f ca="1">MIN(IFERROR(ROUNDUP(IF(F397&gt;0,INDEX(F405:F414,MATCH(9.99999999999999E+307,P405:P414))/IF(MOD('B. Implementation Plan'!P177,1)=0,1,MOD('B. Implementation Plan'!P177,1)),0),0),0),MAX(E405:E414))</f>
        <v>0</v>
      </c>
      <c r="G416" s="324">
        <f ca="1">MIN(IFERROR(ROUNDUP(IF(G397&gt;0,INDEX(G405:G414,MATCH(9.99999999999999E+307,P405:P414))/IF(MOD('B. Implementation Plan'!P177,1)=0,1,MOD('B. Implementation Plan'!P177,1)),0),0),0),MAX(E405:F414))</f>
        <v>0</v>
      </c>
      <c r="H416" s="324">
        <f ca="1">MIN(IFERROR(ROUNDUP(IF(H397&gt;0,INDEX(H405:H414,MATCH(9.99999999999999E+307,P405:P414))/IF(MOD('B. Implementation Plan'!P177,1)=0,1,MOD('B. Implementation Plan'!P177,1)),0),0),0),MAX(E405:G414))</f>
        <v>0</v>
      </c>
      <c r="I416" s="324">
        <f ca="1">MIN(IFERROR(ROUNDUP(IF(I397&gt;0,INDEX(I405:I414,MATCH(9.99999999999999E+307,P405:P414))/IF(MOD('B. Implementation Plan'!P177,1)=0,1,MOD('B. Implementation Plan'!P177,1)),0),0),0),MAX(E405:H414))</f>
        <v>0</v>
      </c>
      <c r="J416" s="324">
        <f ca="1">MIN(IFERROR(ROUNDUP(IF(J397&gt;0,INDEX(J405:J414,MATCH(9.99999999999999E+307,P405:P414))/IF(MOD('B. Implementation Plan'!P177,1)=0,1,MOD('B. Implementation Plan'!P177,1)),0),0),0),MAX(E405:I414))</f>
        <v>0</v>
      </c>
      <c r="K416" s="324">
        <f ca="1">MIN(IFERROR(ROUNDUP(IF(K397&gt;0,INDEX(K405:K414,MATCH(9.99999999999999E+307,P405:P414))/IF(MOD('B. Implementation Plan'!P177,1)=0,1,MOD('B. Implementation Plan'!P177,1)),0),0),0),MAX(E405:J414))</f>
        <v>0</v>
      </c>
      <c r="L416" s="324">
        <f ca="1">MIN(IFERROR(ROUNDUP(IF(L397&gt;0,INDEX(L405:L414,MATCH(9.99999999999999E+307,P405:P414))/IF(MOD('B. Implementation Plan'!P177,1)=0,1,MOD('B. Implementation Plan'!P177,1)),0),0),0),MAX(E405:K414))</f>
        <v>0</v>
      </c>
      <c r="M416" s="324">
        <f ca="1">MIN(IFERROR(ROUNDUP(IF(M397&gt;0,INDEX(M405:M414,MATCH(9.99999999999999E+307,P405:P414))/IF(MOD('B. Implementation Plan'!P177,1)=0,1,MOD('B. Implementation Plan'!P177,1)),0),0),0),MAX(E405:L414))</f>
        <v>0</v>
      </c>
      <c r="N416" s="324">
        <f ca="1">MIN(IFERROR(ROUNDUP(IF(N397&gt;0,INDEX(N405:N414,MATCH(9.99999999999999E+307,P405:P414))/IF(MOD('B. Implementation Plan'!P177,1)=0,1,MOD('B. Implementation Plan'!P177,1)),0),0),0),MAX(E405:M414))</f>
        <v>0</v>
      </c>
      <c r="O416" s="324">
        <f ca="1">MIN(IFERROR(ROUNDUP(IF(O397&gt;0,INDEX(O405:O414,MATCH(9.99999999999999E+307,P405:P414))/IF(MOD('B. Implementation Plan'!P177,1)=0,1,MOD('B. Implementation Plan'!P177,1)),0),0),0),MAX(E405:N414))</f>
        <v>0</v>
      </c>
      <c r="P416" s="325">
        <f ca="1">SUM(E416:O416)</f>
        <v>0</v>
      </c>
    </row>
    <row r="417" spans="3:16" s="365" customFormat="1" x14ac:dyDescent="0.3">
      <c r="C417" s="326" t="s">
        <v>492</v>
      </c>
      <c r="E417"/>
      <c r="F417" s="347">
        <f ca="1">ROUNDUP(IF(F397&gt;0,IF(SUM(E416:F416,E417:E417)*'B. Implementation Plan'!P147&gt;P416,0,-ROUND(SUM(E416:F416,E417:E417)*'B. Implementation Plan'!P147,0)),0),0)</f>
        <v>0</v>
      </c>
      <c r="G417" s="347">
        <f ca="1">ROUNDUP(IF(G397&gt;0,IF(SUM(E416:G416,E417:F417)*'B. Implementation Plan'!P147&gt;P416,0,-ROUND(SUM(E416:G416,E417:F417)*'B. Implementation Plan'!P147,0)),0),0)</f>
        <v>0</v>
      </c>
      <c r="H417" s="347">
        <f ca="1">ROUNDUP(IF(H397&gt;0,IF(SUM(E416:H416,E417:G417)*'B. Implementation Plan'!P147&gt;P416,0,-ROUND(SUM(E416:H416,E417:G417)*'B. Implementation Plan'!P147,0)),0),0)</f>
        <v>0</v>
      </c>
      <c r="I417" s="347">
        <f ca="1">ROUNDUP(IF(I397&gt;0,IF(SUM(E416:I416,E417:H417)*'B. Implementation Plan'!P147&gt;P416,0,-ROUND(SUM(E416:I416,E417:H417)*'B. Implementation Plan'!P147,0)),0),0)</f>
        <v>0</v>
      </c>
      <c r="J417" s="347">
        <f ca="1">ROUNDUP(IF(J397&gt;0,IF(SUM(E416:J416,E417:I417)*'B. Implementation Plan'!P147&gt;P416,0,-ROUND(SUM(E416:J416,E417:I417)*'B. Implementation Plan'!P147,0)),0),0)</f>
        <v>0</v>
      </c>
      <c r="K417" s="347">
        <f ca="1">ROUNDUP(IF(K397&gt;0,IF(SUM(E416:K416,E417:J417)*'B. Implementation Plan'!P147&gt;P416,0,-ROUND(SUM(E416:K416,E417:J417)*'B. Implementation Plan'!P147,0)),0),0)</f>
        <v>0</v>
      </c>
      <c r="L417" s="347">
        <f ca="1">ROUNDUP(IF(L397&gt;0,IF(SUM(E416:L416,E417:K417)*'B. Implementation Plan'!P147&gt;P416,0,-ROUND(SUM(E416:L416,E417:K417)*'B. Implementation Plan'!P147,0)),0),0)</f>
        <v>0</v>
      </c>
      <c r="M417" s="347">
        <f ca="1">ROUNDUP(IF(M397&gt;0,IF(SUM(E416:M416,E417:L417)*'B. Implementation Plan'!P147&gt;P416,0,-ROUND(SUM(E416:M416,E417:L417)*'B. Implementation Plan'!P147,0)),0),0)</f>
        <v>0</v>
      </c>
      <c r="N417" s="347">
        <f ca="1">ROUNDUP(IF(N397&gt;0,IF(SUM(E416:N416,E417:M417)*'B. Implementation Plan'!P147&gt;P416,0,-ROUND(SUM(E416:N416,E417:M417)*'B. Implementation Plan'!P147,0)),0),0)</f>
        <v>0</v>
      </c>
      <c r="O417" s="347">
        <f ca="1">ROUNDUP(IF(O397&gt;0,IF(SUM(E416:O416,E417:N417)*'B. Implementation Plan'!P147&gt;P416,0,-ROUND(SUM(E416:O416,E417:N417)*'B. Implementation Plan'!P147,0)),0),0)</f>
        <v>0</v>
      </c>
      <c r="P417" s="354">
        <f ca="1">SUM(E417:O417)</f>
        <v>0</v>
      </c>
    </row>
    <row r="418" spans="3:16" s="365" customFormat="1" ht="15" thickBot="1" x14ac:dyDescent="0.35">
      <c r="C418" s="326" t="s">
        <v>493</v>
      </c>
      <c r="E418"/>
      <c r="F418" s="347">
        <f ca="1">IF(F397&gt;0,SUM(E416:F417),0)</f>
        <v>0</v>
      </c>
      <c r="G418" s="347">
        <f ca="1">IF(G397&gt;0,SUM(E416:G417),0)</f>
        <v>0</v>
      </c>
      <c r="H418" s="347">
        <f ca="1">IF(H397&gt;0,SUM(E416:H417),0)</f>
        <v>0</v>
      </c>
      <c r="I418" s="347">
        <f ca="1">IF(I397&gt;0,SUM(E416:I417),0)</f>
        <v>0</v>
      </c>
      <c r="J418" s="347">
        <f ca="1">IF(J397&gt;0,SUM(E416:J417),0)</f>
        <v>0</v>
      </c>
      <c r="K418" s="347">
        <f ca="1">IF(K397&gt;0,SUM(E416:K417),0)</f>
        <v>0</v>
      </c>
      <c r="L418" s="347">
        <f ca="1">IF(L397&gt;0,SUM(E416:L417),0)</f>
        <v>0</v>
      </c>
      <c r="M418" s="347">
        <f ca="1">IF(M397&gt;0,SUM(E416:M417),0)</f>
        <v>0</v>
      </c>
      <c r="N418" s="347">
        <f ca="1">IF(N397&gt;0,SUM(E416:N417),0)</f>
        <v>0</v>
      </c>
      <c r="O418" s="369">
        <f ca="1">IF(O397&gt;0,SUM(E416:O417),0)</f>
        <v>0</v>
      </c>
      <c r="P418" s="375">
        <f t="shared" ref="P418" ca="1" si="333">IF(O418=0,IF(N418=0,IF(M418=0,IF(L418=0,IF(K418=0,IF(J418=0,IF(I418=0,IF(H418=0,IF(G418=0,IF(F418=0,E418,F418),G418),H418),I418),J418),K418),L418),M418),N418),O418)</f>
        <v>0</v>
      </c>
    </row>
    <row r="419" spans="3:16" ht="15" thickBot="1" x14ac:dyDescent="0.35">
      <c r="C419" s="59" t="s">
        <v>519</v>
      </c>
    </row>
    <row r="420" spans="3:16" ht="15.6" x14ac:dyDescent="0.3">
      <c r="C420" s="326" t="s">
        <v>473</v>
      </c>
      <c r="F420" s="149">
        <v>1</v>
      </c>
      <c r="G420" s="149">
        <v>2</v>
      </c>
      <c r="H420" s="149">
        <v>3</v>
      </c>
      <c r="I420" s="149">
        <v>4</v>
      </c>
      <c r="J420" s="149">
        <v>5</v>
      </c>
      <c r="K420" s="149">
        <v>6</v>
      </c>
      <c r="L420" s="149">
        <v>7</v>
      </c>
      <c r="M420" s="149">
        <v>8</v>
      </c>
      <c r="N420" s="149">
        <v>9</v>
      </c>
      <c r="O420" s="374">
        <v>10</v>
      </c>
      <c r="P420" s="351" t="s">
        <v>2</v>
      </c>
    </row>
    <row r="421" spans="3:16" s="365" customFormat="1" x14ac:dyDescent="0.3">
      <c r="C421" s="370">
        <v>1</v>
      </c>
      <c r="E421"/>
      <c r="F421" s="347">
        <f>IF($C421&lt;=ROUNDUP('B. Implementation Plan'!P177,0),ROUND(IF(AND($C421-'B. Implementation Plan'!P177&lt;1,$C421-'B. Implementation Plan'!P177&gt;0),MOD('B. Implementation Plan'!P177,1)*(E402+F402)*(1-'B. Implementation Plan'!P175)*'B. Implementation Plan'!P176*(1-'B. Implementation Plan'!P147)^($C421-1),(E402+F402)*(1-'B. Implementation Plan'!P175)*'B. Implementation Plan'!P176*(1-'B. Implementation Plan'!P147)^($C421-1)),0),0)</f>
        <v>0</v>
      </c>
      <c r="G421" s="347">
        <f>IF($C421&lt;=ROUNDUP('B. Implementation Plan'!P177,0),ROUND(IF(AND($C421-'B. Implementation Plan'!P177&lt;1,$C421-'B. Implementation Plan'!P177&gt;0),MOD('B. Implementation Plan'!P177,1)*G402*(1-'B. Implementation Plan'!P175)*'B. Implementation Plan'!P176*(1-'B. Implementation Plan'!P147)^($C421-1),G402*(1-'B. Implementation Plan'!P175)*'B. Implementation Plan'!P176*(1-'B. Implementation Plan'!P147)^($C421-1)),0),0)</f>
        <v>0</v>
      </c>
      <c r="H421" s="347">
        <f>IF($C421&lt;=ROUNDUP('B. Implementation Plan'!P177,0),ROUND(IF(AND($C421-'B. Implementation Plan'!P177&lt;1,$C421-'B. Implementation Plan'!P177&gt;0),MOD('B. Implementation Plan'!P177,1)*H402*(1-'B. Implementation Plan'!P175)*'B. Implementation Plan'!P176*(1-'B. Implementation Plan'!P147)^($C421-1),H402*(1-'B. Implementation Plan'!P175)*'B. Implementation Plan'!P176*(1-'B. Implementation Plan'!P147)^($C421-1)),0),0)</f>
        <v>0</v>
      </c>
      <c r="I421" s="347">
        <f>IF($C421&lt;=ROUNDUP('B. Implementation Plan'!P177,0),ROUND(IF(AND($C421-'B. Implementation Plan'!P177&lt;1,$C421-'B. Implementation Plan'!P177&gt;0),MOD('B. Implementation Plan'!P177,1)*I402*(1-'B. Implementation Plan'!P175)*'B. Implementation Plan'!P176*(1-'B. Implementation Plan'!P147)^($C421-1),I402*(1-'B. Implementation Plan'!P175)*'B. Implementation Plan'!P176*(1-'B. Implementation Plan'!P147)^($C421-1)),0),0)</f>
        <v>0</v>
      </c>
      <c r="J421" s="347">
        <f>IF($C421&lt;=ROUNDUP('B. Implementation Plan'!P177,0),ROUND(IF(AND($C421-'B. Implementation Plan'!P177&lt;1,$C421-'B. Implementation Plan'!P177&gt;0),MOD('B. Implementation Plan'!P177,1)*J402*(1-'B. Implementation Plan'!P175)*'B. Implementation Plan'!P176*(1-'B. Implementation Plan'!P147)^($C421-1),J402*(1-'B. Implementation Plan'!P175)*'B. Implementation Plan'!P176*(1-'B. Implementation Plan'!P147)^($C421-1)),0),0)</f>
        <v>0</v>
      </c>
      <c r="K421" s="347">
        <f>IF($C421&lt;=ROUNDUP('B. Implementation Plan'!P177,0),ROUND(IF(AND($C421-'B. Implementation Plan'!P177&lt;1,$C421-'B. Implementation Plan'!P177&gt;0),MOD('B. Implementation Plan'!P177,1)*K402*(1-'B. Implementation Plan'!P175)*'B. Implementation Plan'!P176*(1-'B. Implementation Plan'!P147)^($C421-1),K402*(1-'B. Implementation Plan'!P175)*'B. Implementation Plan'!P176*(1-'B. Implementation Plan'!P147)^($C421-1)),0),0)</f>
        <v>0</v>
      </c>
      <c r="L421" s="347">
        <f>IF($C421&lt;=ROUNDUP('B. Implementation Plan'!P177,0),ROUND(IF(AND($C421-'B. Implementation Plan'!P177&lt;1,$C421-'B. Implementation Plan'!P177&gt;0),MOD('B. Implementation Plan'!P177,1)*L402*(1-'B. Implementation Plan'!P175)*'B. Implementation Plan'!P176*(1-'B. Implementation Plan'!P147)^($C421-1),L402*(1-'B. Implementation Plan'!P175)*'B. Implementation Plan'!P176*(1-'B. Implementation Plan'!P147)^($C421-1)),0),0)</f>
        <v>0</v>
      </c>
      <c r="M421" s="347">
        <f>IF($C421&lt;=ROUNDUP('B. Implementation Plan'!P177,0),ROUND(IF(AND($C421-'B. Implementation Plan'!P177&lt;1,$C421-'B. Implementation Plan'!P177&gt;0),MOD('B. Implementation Plan'!P177,1)*M402*(1-'B. Implementation Plan'!P175)*'B. Implementation Plan'!P176*(1-'B. Implementation Plan'!P147)^($C421-1),M402*(1-'B. Implementation Plan'!P175)*'B. Implementation Plan'!P176*(1-'B. Implementation Plan'!P147)^($C421-1)),0),0)</f>
        <v>0</v>
      </c>
      <c r="N421" s="347">
        <f>IF($C421&lt;=ROUNDUP('B. Implementation Plan'!P177,0),ROUND(IF(AND($C421-'B. Implementation Plan'!P177&lt;1,$C421-'B. Implementation Plan'!P177&gt;0),MOD('B. Implementation Plan'!P177,1)*N402*(1-'B. Implementation Plan'!P175)*'B. Implementation Plan'!P176*(1-'B. Implementation Plan'!P147)^($C421-1),N402*(1-'B. Implementation Plan'!P175)*'B. Implementation Plan'!P176*(1-'B. Implementation Plan'!P147)^($C421-1)),0),0)</f>
        <v>0</v>
      </c>
      <c r="O421" s="347">
        <f>IF($C421&lt;=ROUNDUP('B. Implementation Plan'!P177,0),ROUND(IF(AND($C421-'B. Implementation Plan'!P177&lt;1,$C421-'B. Implementation Plan'!P177&gt;0),MOD('B. Implementation Plan'!P177,1)*O402*(1-'B. Implementation Plan'!P175)*'B. Implementation Plan'!P176*(1-'B. Implementation Plan'!P147)^($C421-1),O402*(1-'B. Implementation Plan'!P175)*'B. Implementation Plan'!P176*(1-'B. Implementation Plan'!P147)^($C421-1)),0),0)</f>
        <v>0</v>
      </c>
      <c r="P421" s="78" t="str">
        <f>IF(SUM(F421:O421)&gt;0,SUM(F421:O421),"")</f>
        <v/>
      </c>
    </row>
    <row r="422" spans="3:16" s="365" customFormat="1" x14ac:dyDescent="0.3">
      <c r="C422" s="370">
        <v>2</v>
      </c>
      <c r="E422"/>
      <c r="F422"/>
      <c r="G422" s="347">
        <f>IF($C422&lt;=ROUNDUP('B. Implementation Plan'!P177,0),ROUND(IF(AND($C422-'B. Implementation Plan'!P177&lt;1,$C422-'B. Implementation Plan'!P177&gt;0),MOD('B. Implementation Plan'!P177,1)*(E402+G402)*(1-'B. Implementation Plan'!P175)*'B. Implementation Plan'!P176*(1-'B. Implementation Plan'!P147)^($C422-1),(E402+G402)*(1-'B. Implementation Plan'!P175)*'B. Implementation Plan'!P176*(1-'B. Implementation Plan'!P147)^($C422-1)),0),0)</f>
        <v>0</v>
      </c>
      <c r="H422" s="347">
        <f>IF($C422&lt;=ROUNDUP('B. Implementation Plan'!P177,0),ROUND(IF(AND($C422-'B. Implementation Plan'!P177&lt;1,$C422-'B. Implementation Plan'!P177&gt;0),MOD('B. Implementation Plan'!P177,1)*G402*(1-'B. Implementation Plan'!P175)*'B. Implementation Plan'!P176*(1-'B. Implementation Plan'!P147)^($C422-1),G402*(1-'B. Implementation Plan'!P175)*'B. Implementation Plan'!P176*(1-'B. Implementation Plan'!P147)^($C422-1)),0),0)</f>
        <v>0</v>
      </c>
      <c r="I422" s="347">
        <f>IF($C422&lt;=ROUNDUP('B. Implementation Plan'!P177,0),ROUND(IF(AND($C422-'B. Implementation Plan'!P177&lt;1,$C422-'B. Implementation Plan'!P177&gt;0),MOD('B. Implementation Plan'!P177,1)*H402*(1-'B. Implementation Plan'!P175)*'B. Implementation Plan'!P176*(1-'B. Implementation Plan'!P147)^($C422-1),H402*(1-'B. Implementation Plan'!P175)*'B. Implementation Plan'!P176*(1-'B. Implementation Plan'!P147)^($C422-1)),0),0)</f>
        <v>0</v>
      </c>
      <c r="J422" s="347">
        <f>IF($C422&lt;=ROUNDUP('B. Implementation Plan'!P177,0),ROUND(IF(AND($C422-'B. Implementation Plan'!P177&lt;1,$C422-'B. Implementation Plan'!P177&gt;0),MOD('B. Implementation Plan'!P177,1)*I402*(1-'B. Implementation Plan'!P175)*'B. Implementation Plan'!P176*(1-'B. Implementation Plan'!P147)^($C422-1),I402*(1-'B. Implementation Plan'!P175)*'B. Implementation Plan'!P176*(1-'B. Implementation Plan'!P147)^($C422-1)),0),0)</f>
        <v>0</v>
      </c>
      <c r="K422" s="347">
        <f>IF($C422&lt;=ROUNDUP('B. Implementation Plan'!P177,0),ROUND(IF(AND($C422-'B. Implementation Plan'!P177&lt;1,$C422-'B. Implementation Plan'!P177&gt;0),MOD('B. Implementation Plan'!P177,1)*J402*(1-'B. Implementation Plan'!P175)*'B. Implementation Plan'!P176*(1-'B. Implementation Plan'!P147)^($C422-1),J402*(1-'B. Implementation Plan'!P175)*'B. Implementation Plan'!P176*(1-'B. Implementation Plan'!P147)^($C422-1)),0),0)</f>
        <v>0</v>
      </c>
      <c r="L422" s="347">
        <f>IF($C422&lt;=ROUNDUP('B. Implementation Plan'!P177,0),ROUND(IF(AND($C422-'B. Implementation Plan'!P177&lt;1,$C422-'B. Implementation Plan'!P177&gt;0),MOD('B. Implementation Plan'!P177,1)*K402*(1-'B. Implementation Plan'!P175)*'B. Implementation Plan'!P176*(1-'B. Implementation Plan'!P147)^($C422-1),K402*(1-'B. Implementation Plan'!P175)*'B. Implementation Plan'!P176*(1-'B. Implementation Plan'!P147)^($C422-1)),0),0)</f>
        <v>0</v>
      </c>
      <c r="M422" s="347">
        <f>IF($C422&lt;=ROUNDUP('B. Implementation Plan'!P177,0),ROUND(IF(AND($C422-'B. Implementation Plan'!P177&lt;1,$C422-'B. Implementation Plan'!P177&gt;0),MOD('B. Implementation Plan'!P177,1)*L402*(1-'B. Implementation Plan'!P175)*'B. Implementation Plan'!P176*(1-'B. Implementation Plan'!P147)^($C422-1),L402*(1-'B. Implementation Plan'!P175)*'B. Implementation Plan'!P176*(1-'B. Implementation Plan'!P147)^($C422-1)),0),0)</f>
        <v>0</v>
      </c>
      <c r="N422" s="347">
        <f>IF($C422&lt;=ROUNDUP('B. Implementation Plan'!P177,0),ROUND(IF(AND($C422-'B. Implementation Plan'!P177&lt;1,$C422-'B. Implementation Plan'!P177&gt;0),MOD('B. Implementation Plan'!P177,1)*M402*(1-'B. Implementation Plan'!P175)*'B. Implementation Plan'!P176*(1-'B. Implementation Plan'!P147)^($C422-1),M402*(1-'B. Implementation Plan'!P175)*'B. Implementation Plan'!P176*(1-'B. Implementation Plan'!P147)^($C422-1)),0),0)</f>
        <v>0</v>
      </c>
      <c r="O422" s="347">
        <f>IF($C422&lt;=ROUNDUP('B. Implementation Plan'!P177,0),ROUND(IF(AND($C422-'B. Implementation Plan'!P177&lt;1,$C422-'B. Implementation Plan'!P177&gt;0),MOD('B. Implementation Plan'!P177,1)*N402*(1-'B. Implementation Plan'!P175)*'B. Implementation Plan'!P176*(1-'B. Implementation Plan'!P147)^($C422-1),N402*(1-'B. Implementation Plan'!P175)*'B. Implementation Plan'!P176*(1-'B. Implementation Plan'!P147)^($C422-1)),0),0)</f>
        <v>0</v>
      </c>
      <c r="P422" s="78" t="str">
        <f t="shared" ref="P422:P430" si="334">IF(SUM(F422:O422)&gt;0,SUM(F422:O422),"")</f>
        <v/>
      </c>
    </row>
    <row r="423" spans="3:16" s="365" customFormat="1" x14ac:dyDescent="0.3">
      <c r="C423" s="370">
        <v>3</v>
      </c>
      <c r="E423"/>
      <c r="F423"/>
      <c r="G423"/>
      <c r="H423" s="347">
        <f>IF($C423&lt;=ROUNDUP('B. Implementation Plan'!P177,0),ROUND(IF(AND($C423-'B. Implementation Plan'!P177&lt;1,$C423-'B. Implementation Plan'!P177&gt;0),MOD('B. Implementation Plan'!P177,1)*(E402+H402)*(1-'B. Implementation Plan'!P175)*'B. Implementation Plan'!P176*(1-'B. Implementation Plan'!P147)^($C423-1),(E402+H402)*(1-'B. Implementation Plan'!P175)*'B. Implementation Plan'!P176*(1-'B. Implementation Plan'!P147)^($C423-1)),0),0)</f>
        <v>0</v>
      </c>
      <c r="I423" s="347">
        <f>IF($C423&lt;=ROUNDUP('B. Implementation Plan'!P177,0),ROUND(IF(AND($C423-'B. Implementation Plan'!P177&lt;1,$C423-'B. Implementation Plan'!P177&gt;0),MOD('B. Implementation Plan'!P177,1)*G402*(1-'B. Implementation Plan'!P175)*'B. Implementation Plan'!P176*(1-'B. Implementation Plan'!P147)^($C423-1),G402*(1-'B. Implementation Plan'!P175)*'B. Implementation Plan'!P176*(1-'B. Implementation Plan'!P147)^($C423-1)),0),0)</f>
        <v>0</v>
      </c>
      <c r="J423" s="347">
        <f>IF($C423&lt;=ROUNDUP('B. Implementation Plan'!P177,0),ROUND(IF(AND($C423-'B. Implementation Plan'!P177&lt;1,$C423-'B. Implementation Plan'!P177&gt;0),MOD('B. Implementation Plan'!P177,1)*H402*(1-'B. Implementation Plan'!P175)*'B. Implementation Plan'!P176*(1-'B. Implementation Plan'!P147)^($C423-1),H402*(1-'B. Implementation Plan'!P175)*'B. Implementation Plan'!P176*(1-'B. Implementation Plan'!P147)^($C423-1)),0),0)</f>
        <v>0</v>
      </c>
      <c r="K423" s="347">
        <f>IF($C423&lt;=ROUNDUP('B. Implementation Plan'!P177,0),ROUND(IF(AND($C423-'B. Implementation Plan'!P177&lt;1,$C423-'B. Implementation Plan'!P177&gt;0),MOD('B. Implementation Plan'!P177,1)*I402*(1-'B. Implementation Plan'!P175)*'B. Implementation Plan'!P176*(1-'B. Implementation Plan'!P147)^($C423-1),I402*(1-'B. Implementation Plan'!P175)*'B. Implementation Plan'!P176*(1-'B. Implementation Plan'!P147)^($C423-1)),0),0)</f>
        <v>0</v>
      </c>
      <c r="L423" s="347">
        <f>IF($C423&lt;=ROUNDUP('B. Implementation Plan'!P177,0),ROUND(IF(AND($C423-'B. Implementation Plan'!P177&lt;1,$C423-'B. Implementation Plan'!P177&gt;0),MOD('B. Implementation Plan'!P177,1)*J402*(1-'B. Implementation Plan'!P175)*'B. Implementation Plan'!P176*(1-'B. Implementation Plan'!P147)^($C423-1),J402*(1-'B. Implementation Plan'!P175)*'B. Implementation Plan'!P176*(1-'B. Implementation Plan'!P147)^($C423-1)),0),0)</f>
        <v>0</v>
      </c>
      <c r="M423" s="347">
        <f>IF($C423&lt;=ROUNDUP('B. Implementation Plan'!P177,0),ROUND(IF(AND($C423-'B. Implementation Plan'!P177&lt;1,$C423-'B. Implementation Plan'!P177&gt;0),MOD('B. Implementation Plan'!P177,1)*K402*(1-'B. Implementation Plan'!P175)*'B. Implementation Plan'!P176*(1-'B. Implementation Plan'!P147)^($C423-1),K402*(1-'B. Implementation Plan'!P175)*'B. Implementation Plan'!P176*(1-'B. Implementation Plan'!P147)^($C423-1)),0),0)</f>
        <v>0</v>
      </c>
      <c r="N423" s="347">
        <f>IF($C423&lt;=ROUNDUP('B. Implementation Plan'!P177,0),ROUND(IF(AND($C423-'B. Implementation Plan'!P177&lt;1,$C423-'B. Implementation Plan'!P177&gt;0),MOD('B. Implementation Plan'!P177,1)*L402*(1-'B. Implementation Plan'!P175)*'B. Implementation Plan'!P176*(1-'B. Implementation Plan'!P147)^($C423-1),L402*(1-'B. Implementation Plan'!P175)*'B. Implementation Plan'!P176*(1-'B. Implementation Plan'!P147)^($C423-1)),0),0)</f>
        <v>0</v>
      </c>
      <c r="O423" s="347">
        <f>IF($C423&lt;=ROUNDUP('B. Implementation Plan'!P177,0),ROUND(IF(AND($C423-'B. Implementation Plan'!P177&lt;1,$C423-'B. Implementation Plan'!P177&gt;0),MOD('B. Implementation Plan'!P177,1)*M402*(1-'B. Implementation Plan'!P175)*'B. Implementation Plan'!P176*(1-'B. Implementation Plan'!P147)^($C423-1),M402*(1-'B. Implementation Plan'!P175)*'B. Implementation Plan'!P176*(1-'B. Implementation Plan'!P147)^($C423-1)),0),0)</f>
        <v>0</v>
      </c>
      <c r="P423" s="78" t="str">
        <f t="shared" si="334"/>
        <v/>
      </c>
    </row>
    <row r="424" spans="3:16" s="365" customFormat="1" x14ac:dyDescent="0.3">
      <c r="C424" s="370">
        <v>4</v>
      </c>
      <c r="D424" s="365" t="s">
        <v>361</v>
      </c>
      <c r="E424"/>
      <c r="F424"/>
      <c r="G424"/>
      <c r="H424"/>
      <c r="I424" s="347">
        <f>IF($C424&lt;=ROUNDUP('B. Implementation Plan'!P177,0),ROUND(IF(AND($C424-'B. Implementation Plan'!P177&lt;1,$C424-'B. Implementation Plan'!P177&gt;0),MOD('B. Implementation Plan'!P177,1)*(E402+I402)*(1-'B. Implementation Plan'!P175)*'B. Implementation Plan'!P176*(1-'B. Implementation Plan'!P147)^($C424-1),(E402+I402)*(1-'B. Implementation Plan'!P175)*'B. Implementation Plan'!P176*(1-'B. Implementation Plan'!P147)^($C424-1)),0),0)</f>
        <v>0</v>
      </c>
      <c r="J424" s="347">
        <f>IF($C424&lt;=ROUNDUP('B. Implementation Plan'!P177,0),ROUND(IF(AND($C424-'B. Implementation Plan'!P177&lt;1,$C424-'B. Implementation Plan'!P177&gt;0),MOD('B. Implementation Plan'!P177,1)*G402*(1-'B. Implementation Plan'!P175)*'B. Implementation Plan'!P176*(1-'B. Implementation Plan'!P147)^($C424-1),G402*(1-'B. Implementation Plan'!P175)*'B. Implementation Plan'!P176*(1-'B. Implementation Plan'!P147)^($C424-1)),0),0)</f>
        <v>0</v>
      </c>
      <c r="K424" s="347">
        <f>IF($C424&lt;=ROUNDUP('B. Implementation Plan'!P177,0),ROUND(IF(AND($C424-'B. Implementation Plan'!P177&lt;1,$C424-'B. Implementation Plan'!P177&gt;0),MOD('B. Implementation Plan'!P177,1)*H402*(1-'B. Implementation Plan'!P175)*'B. Implementation Plan'!P176*(1-'B. Implementation Plan'!P147)^($C424-1),H402*(1-'B. Implementation Plan'!P175)*'B. Implementation Plan'!P176*(1-'B. Implementation Plan'!P147)^($C424-1)),0),0)</f>
        <v>0</v>
      </c>
      <c r="L424" s="347">
        <f>IF($C424&lt;=ROUNDUP('B. Implementation Plan'!P177,0),ROUND(IF(AND($C424-'B. Implementation Plan'!P177&lt;1,$C424-'B. Implementation Plan'!P177&gt;0),MOD('B. Implementation Plan'!P177,1)*I402*(1-'B. Implementation Plan'!P175)*'B. Implementation Plan'!P176*(1-'B. Implementation Plan'!P147)^($C424-1),I402*(1-'B. Implementation Plan'!P175)*'B. Implementation Plan'!P176*(1-'B. Implementation Plan'!P147)^($C424-1)),0),0)</f>
        <v>0</v>
      </c>
      <c r="M424" s="347">
        <f>IF($C424&lt;=ROUNDUP('B. Implementation Plan'!P177,0),ROUND(IF(AND($C424-'B. Implementation Plan'!P177&lt;1,$C424-'B. Implementation Plan'!P177&gt;0),MOD('B. Implementation Plan'!P177,1)*J402*(1-'B. Implementation Plan'!P175)*'B. Implementation Plan'!P176*(1-'B. Implementation Plan'!P147)^($C424-1),J402*(1-'B. Implementation Plan'!P175)*'B. Implementation Plan'!P176*(1-'B. Implementation Plan'!P147)^($C424-1)),0),0)</f>
        <v>0</v>
      </c>
      <c r="N424" s="347">
        <f>IF($C424&lt;=ROUNDUP('B. Implementation Plan'!P177,0),ROUND(IF(AND($C424-'B. Implementation Plan'!P177&lt;1,$C424-'B. Implementation Plan'!P177&gt;0),MOD('B. Implementation Plan'!P177,1)*K402*(1-'B. Implementation Plan'!P175)*'B. Implementation Plan'!P176*(1-'B. Implementation Plan'!P147)^($C424-1),K402*(1-'B. Implementation Plan'!P175)*'B. Implementation Plan'!P176*(1-'B. Implementation Plan'!P147)^($C424-1)),0),0)</f>
        <v>0</v>
      </c>
      <c r="O424" s="347">
        <f>IF($C424&lt;=ROUNDUP('B. Implementation Plan'!P177,0),ROUND(IF(AND($C424-'B. Implementation Plan'!P177&lt;1,$C424-'B. Implementation Plan'!P177&gt;0),MOD('B. Implementation Plan'!P177,1)*L402*(1-'B. Implementation Plan'!P175)*'B. Implementation Plan'!P176*(1-'B. Implementation Plan'!P147)^($C424-1),L402*(1-'B. Implementation Plan'!P175)*'B. Implementation Plan'!P176*(1-'B. Implementation Plan'!P147)^($C424-1)),0),0)</f>
        <v>0</v>
      </c>
      <c r="P424" s="78" t="str">
        <f t="shared" si="334"/>
        <v/>
      </c>
    </row>
    <row r="425" spans="3:16" s="365" customFormat="1" x14ac:dyDescent="0.3">
      <c r="C425" s="370">
        <v>5</v>
      </c>
      <c r="E425"/>
      <c r="F425"/>
      <c r="G425"/>
      <c r="H425"/>
      <c r="I425"/>
      <c r="J425" s="347">
        <f>IF($C425&lt;=ROUNDUP('B. Implementation Plan'!P177,0),ROUND(IF(AND($C425-'B. Implementation Plan'!P177&lt;1,$C425-'B. Implementation Plan'!P177&gt;0),MOD('B. Implementation Plan'!P177,1)*(E402+J402)*(1-'B. Implementation Plan'!P175)*'B. Implementation Plan'!P176*(1-'B. Implementation Plan'!P147)^($C425-1),(E402+J402)*(1-'B. Implementation Plan'!P175)*'B. Implementation Plan'!P176*(1-'B. Implementation Plan'!P147)^($C425-1)),0),0)</f>
        <v>0</v>
      </c>
      <c r="K425" s="347">
        <f>IF($C425&lt;=ROUNDUP('B. Implementation Plan'!P177,0),ROUND(IF(AND($C425-'B. Implementation Plan'!P177&lt;1,$C425-'B. Implementation Plan'!P177&gt;0),MOD('B. Implementation Plan'!P177,1)*G402*(1-'B. Implementation Plan'!P175)*'B. Implementation Plan'!P176*(1-'B. Implementation Plan'!P147)^($C425-1),G402*(1-'B. Implementation Plan'!P175)*'B. Implementation Plan'!P176*(1-'B. Implementation Plan'!P147)^($C425-1)),0),0)</f>
        <v>0</v>
      </c>
      <c r="L425" s="347">
        <f>IF($C425&lt;=ROUNDUP('B. Implementation Plan'!P177,0),ROUND(IF(AND($C425-'B. Implementation Plan'!P177&lt;1,$C425-'B. Implementation Plan'!P177&gt;0),MOD('B. Implementation Plan'!P177,1)*H402*(1-'B. Implementation Plan'!P175)*'B. Implementation Plan'!P176*(1-'B. Implementation Plan'!P147)^($C425-1),H402*(1-'B. Implementation Plan'!P175)*'B. Implementation Plan'!P176*(1-'B. Implementation Plan'!P147)^($C425-1)),0),0)</f>
        <v>0</v>
      </c>
      <c r="M425" s="347">
        <f>IF($C425&lt;=ROUNDUP('B. Implementation Plan'!P177,0),ROUND(IF(AND($C425-'B. Implementation Plan'!P177&lt;1,$C425-'B. Implementation Plan'!P177&gt;0),MOD('B. Implementation Plan'!P177,1)*I402*(1-'B. Implementation Plan'!P175)*'B. Implementation Plan'!P176*(1-'B. Implementation Plan'!P147)^($C425-1),I402*(1-'B. Implementation Plan'!P175)*'B. Implementation Plan'!P176*(1-'B. Implementation Plan'!P147)^($C425-1)),0),0)</f>
        <v>0</v>
      </c>
      <c r="N425" s="347">
        <f>IF($C425&lt;=ROUNDUP('B. Implementation Plan'!P177,0),ROUND(IF(AND($C425-'B. Implementation Plan'!P177&lt;1,$C425-'B. Implementation Plan'!P177&gt;0),MOD('B. Implementation Plan'!P177,1)*J402*(1-'B. Implementation Plan'!P175)*'B. Implementation Plan'!P176*(1-'B. Implementation Plan'!P147)^($C425-1),J402*(1-'B. Implementation Plan'!P175)*'B. Implementation Plan'!P176*(1-'B. Implementation Plan'!P147)^($C425-1)),0),0)</f>
        <v>0</v>
      </c>
      <c r="O425" s="347">
        <f>IF($C425&lt;=ROUNDUP('B. Implementation Plan'!P177,0),ROUND(IF(AND($C425-'B. Implementation Plan'!P177&lt;1,$C425-'B. Implementation Plan'!P177&gt;0),MOD('B. Implementation Plan'!P177,1)*K402*(1-'B. Implementation Plan'!P175)*'B. Implementation Plan'!P176*(1-'B. Implementation Plan'!P147)^($C425-1),K402*(1-'B. Implementation Plan'!P175)*'B. Implementation Plan'!P176*(1-'B. Implementation Plan'!P147)^($C425-1)),0),0)</f>
        <v>0</v>
      </c>
      <c r="P425" s="78" t="str">
        <f t="shared" si="334"/>
        <v/>
      </c>
    </row>
    <row r="426" spans="3:16" s="365" customFormat="1" x14ac:dyDescent="0.3">
      <c r="C426" s="370">
        <v>6</v>
      </c>
      <c r="E426"/>
      <c r="F426"/>
      <c r="G426"/>
      <c r="H426"/>
      <c r="I426"/>
      <c r="J426"/>
      <c r="K426" s="347">
        <f>IF($C426&lt;=ROUNDUP('B. Implementation Plan'!P177,0),ROUND(IF(AND($C426-'B. Implementation Plan'!P177&lt;1,$C426-'B. Implementation Plan'!P177&gt;0),MOD('B. Implementation Plan'!P177,1)*(E402+K402)*(1-'B. Implementation Plan'!P175)*'B. Implementation Plan'!P176*(1-'B. Implementation Plan'!P147)^($C426-1),(E402+K402)*(1-'B. Implementation Plan'!P175)*'B. Implementation Plan'!P176*(1-'B. Implementation Plan'!P147)^($C426-1)),0),0)</f>
        <v>0</v>
      </c>
      <c r="L426" s="347">
        <f>IF($C426&lt;=ROUNDUP('B. Implementation Plan'!P177,0),ROUND(IF(AND($C426-'B. Implementation Plan'!P177&lt;1,$C426-'B. Implementation Plan'!P177&gt;0),MOD('B. Implementation Plan'!P177,1)*G402*(1-'B. Implementation Plan'!P175)*'B. Implementation Plan'!P176*(1-'B. Implementation Plan'!P147)^($C426-1),G402*(1-'B. Implementation Plan'!P175)*'B. Implementation Plan'!P176*(1-'B. Implementation Plan'!P147)^($C426-1)),0),0)</f>
        <v>0</v>
      </c>
      <c r="M426" s="347">
        <f>IF($C426&lt;=ROUNDUP('B. Implementation Plan'!P177,0),ROUND(IF(AND($C426-'B. Implementation Plan'!P177&lt;1,$C426-'B. Implementation Plan'!P177&gt;0),MOD('B. Implementation Plan'!P177,1)*H402*(1-'B. Implementation Plan'!P175)*'B. Implementation Plan'!P176*(1-'B. Implementation Plan'!P147)^($C426-1),H402*(1-'B. Implementation Plan'!P175)*'B. Implementation Plan'!P176*(1-'B. Implementation Plan'!P147)^($C426-1)),0),0)</f>
        <v>0</v>
      </c>
      <c r="N426" s="347">
        <f>IF($C426&lt;=ROUNDUP('B. Implementation Plan'!P177,0),ROUND(IF(AND($C426-'B. Implementation Plan'!P177&lt;1,$C426-'B. Implementation Plan'!P177&gt;0),MOD('B. Implementation Plan'!P177,1)*I402*(1-'B. Implementation Plan'!P175)*'B. Implementation Plan'!P176*(1-'B. Implementation Plan'!P147)^($C426-1),I402*(1-'B. Implementation Plan'!P175)*'B. Implementation Plan'!P176*(1-'B. Implementation Plan'!P147)^($C426-1)),0),0)</f>
        <v>0</v>
      </c>
      <c r="O426" s="347">
        <f>IF($C426&lt;=ROUNDUP('B. Implementation Plan'!P177,0),ROUND(IF(AND($C426-'B. Implementation Plan'!P177&lt;1,$C426-'B. Implementation Plan'!P177&gt;0),MOD('B. Implementation Plan'!P177,1)*J402*(1-'B. Implementation Plan'!P175)*'B. Implementation Plan'!P176*(1-'B. Implementation Plan'!P147)^($C426-1),J402*(1-'B. Implementation Plan'!P175)*'B. Implementation Plan'!P176*(1-'B. Implementation Plan'!P147)^($C426-1)),0),0)</f>
        <v>0</v>
      </c>
      <c r="P426" s="78" t="str">
        <f t="shared" si="334"/>
        <v/>
      </c>
    </row>
    <row r="427" spans="3:16" s="365" customFormat="1" x14ac:dyDescent="0.3">
      <c r="C427" s="370">
        <v>7</v>
      </c>
      <c r="E427"/>
      <c r="F427"/>
      <c r="G427"/>
      <c r="H427"/>
      <c r="I427"/>
      <c r="J427"/>
      <c r="K427"/>
      <c r="L427" s="347">
        <f>IF($C427&lt;=ROUNDUP('B. Implementation Plan'!P177,0),ROUND(IF(AND($C427-'B. Implementation Plan'!P177&lt;1,$C427-'B. Implementation Plan'!P177&gt;0),MOD('B. Implementation Plan'!P177,1)*(E402+L402)*(1-'B. Implementation Plan'!P175)*'B. Implementation Plan'!P176*(1-'B. Implementation Plan'!P147)^($C427-1),(E402+L402)*(1-'B. Implementation Plan'!P175)*'B. Implementation Plan'!P176*(1-'B. Implementation Plan'!P147)^($C427-1)),0),0)</f>
        <v>0</v>
      </c>
      <c r="M427" s="347">
        <f>IF($C427&lt;=ROUNDUP('B. Implementation Plan'!P177,0),ROUND(IF(AND($C427-'B. Implementation Plan'!P177&lt;1,$C427-'B. Implementation Plan'!P177&gt;0),MOD('B. Implementation Plan'!P177,1)*G402*(1-'B. Implementation Plan'!P175)*'B. Implementation Plan'!P176*(1-'B. Implementation Plan'!P147)^($C427-1),G402*(1-'B. Implementation Plan'!P175)*'B. Implementation Plan'!P176*(1-'B. Implementation Plan'!P147)^($C427-1)),0),0)</f>
        <v>0</v>
      </c>
      <c r="N427" s="347">
        <f>IF($C427&lt;=ROUNDUP('B. Implementation Plan'!P177,0),ROUND(IF(AND($C427-'B. Implementation Plan'!P177&lt;1,$C427-'B. Implementation Plan'!P177&gt;0),MOD('B. Implementation Plan'!P177,1)*H402*(1-'B. Implementation Plan'!P175)*'B. Implementation Plan'!P176*(1-'B. Implementation Plan'!P147)^($C427-1),H402*(1-'B. Implementation Plan'!P175)*'B. Implementation Plan'!P176*(1-'B. Implementation Plan'!P147)^($C427-1)),0),0)</f>
        <v>0</v>
      </c>
      <c r="O427" s="347">
        <f>IF($C427&lt;=ROUNDUP('B. Implementation Plan'!P177,0),ROUND(IF(AND($C427-'B. Implementation Plan'!P177&lt;1,$C427-'B. Implementation Plan'!P177&gt;0),MOD('B. Implementation Plan'!P177,1)*I402*(1-'B. Implementation Plan'!P175)*'B. Implementation Plan'!P176*(1-'B. Implementation Plan'!P147)^($C427-1),I402*(1-'B. Implementation Plan'!P175)*'B. Implementation Plan'!P176*(1-'B. Implementation Plan'!P147)^($C427-1)),0),0)</f>
        <v>0</v>
      </c>
      <c r="P427" s="78" t="str">
        <f t="shared" si="334"/>
        <v/>
      </c>
    </row>
    <row r="428" spans="3:16" s="365" customFormat="1" x14ac:dyDescent="0.3">
      <c r="C428" s="370">
        <v>8</v>
      </c>
      <c r="E428"/>
      <c r="F428"/>
      <c r="G428"/>
      <c r="H428"/>
      <c r="I428"/>
      <c r="J428"/>
      <c r="K428"/>
      <c r="L428"/>
      <c r="M428" s="347">
        <f>IF($C428&lt;=ROUNDUP('B. Implementation Plan'!P177,0),ROUND(IF(AND($C428-'B. Implementation Plan'!P177&lt;1,$C428-'B. Implementation Plan'!P177&gt;0),MOD('B. Implementation Plan'!P177,1)*(E402+M402)*(1-'B. Implementation Plan'!P175)*'B. Implementation Plan'!P176*(1-'B. Implementation Plan'!P147)^($C428-1),(E402+M402)*(1-'B. Implementation Plan'!P175)*'B. Implementation Plan'!P176*(1-'B. Implementation Plan'!P147)^($C428-1)),0),0)</f>
        <v>0</v>
      </c>
      <c r="N428" s="347">
        <f>IF($C428&lt;=ROUNDUP('B. Implementation Plan'!P177,0),ROUND(IF(AND($C428-'B. Implementation Plan'!P177&lt;1,$C428-'B. Implementation Plan'!P177&gt;0),MOD('B. Implementation Plan'!P177,1)*G402*(1-'B. Implementation Plan'!P175)*'B. Implementation Plan'!P176*(1-'B. Implementation Plan'!P147)^($C428-1),G402*(1-'B. Implementation Plan'!P175)*'B. Implementation Plan'!P176*(1-'B. Implementation Plan'!P147)^($C428-1)),0),0)</f>
        <v>0</v>
      </c>
      <c r="O428" s="347">
        <f>IF($C428&lt;=ROUNDUP('B. Implementation Plan'!P177,0),ROUND(IF(AND($C428-'B. Implementation Plan'!P177&lt;1,$C428-'B. Implementation Plan'!P177&gt;0),MOD('B. Implementation Plan'!P177,1)*H402*(1-'B. Implementation Plan'!P175)*'B. Implementation Plan'!P176*(1-'B. Implementation Plan'!P147)^($C428-1),H402*(1-'B. Implementation Plan'!P175)*'B. Implementation Plan'!P176*(1-'B. Implementation Plan'!P147)^($C428-1)),0),0)</f>
        <v>0</v>
      </c>
      <c r="P428" s="78" t="str">
        <f t="shared" si="334"/>
        <v/>
      </c>
    </row>
    <row r="429" spans="3:16" s="365" customFormat="1" x14ac:dyDescent="0.3">
      <c r="C429" s="370">
        <v>9</v>
      </c>
      <c r="E429"/>
      <c r="F429"/>
      <c r="G429"/>
      <c r="H429"/>
      <c r="I429"/>
      <c r="J429"/>
      <c r="K429"/>
      <c r="L429"/>
      <c r="M429"/>
      <c r="N429" s="347">
        <f>IF($C429&lt;=ROUNDUP('B. Implementation Plan'!P177,0),ROUND(IF(AND($C429-'B. Implementation Plan'!P177&lt;1,$C429-'B. Implementation Plan'!P177&gt;0),MOD('B. Implementation Plan'!P177,1)*(E402+N402)*(1-'B. Implementation Plan'!P175)*'B. Implementation Plan'!P176*(1-'B. Implementation Plan'!P147)^($C429-1),(E402+N402)*(1-'B. Implementation Plan'!P175)*'B. Implementation Plan'!P176*(1-'B. Implementation Plan'!P147)^($C429-1)),0),0)</f>
        <v>0</v>
      </c>
      <c r="O429" s="347">
        <f>IF($C429&lt;=ROUNDUP('B. Implementation Plan'!P177,0),ROUND(IF(AND($C429-'B. Implementation Plan'!P177&lt;1,$C429-'B. Implementation Plan'!P177&gt;0),MOD('B. Implementation Plan'!P177,1)*G402*(1-'B. Implementation Plan'!P175)*'B. Implementation Plan'!P176*(1-'B. Implementation Plan'!P147)^($C429-1),G402*(1-'B. Implementation Plan'!P175)*'B. Implementation Plan'!P176*(1-'B. Implementation Plan'!P147)^($C429-1)),0),0)</f>
        <v>0</v>
      </c>
      <c r="P429" s="78" t="str">
        <f t="shared" si="334"/>
        <v/>
      </c>
    </row>
    <row r="430" spans="3:16" s="365" customFormat="1" x14ac:dyDescent="0.3">
      <c r="C430" s="370">
        <v>10</v>
      </c>
      <c r="E430"/>
      <c r="F430"/>
      <c r="G430"/>
      <c r="H430"/>
      <c r="I430"/>
      <c r="J430"/>
      <c r="K430"/>
      <c r="L430"/>
      <c r="M430"/>
      <c r="N430" s="19"/>
      <c r="O430" s="347">
        <f>IF($C430&lt;=ROUNDUP('B. Implementation Plan'!P177,0),ROUND(IF(AND($C430-'B. Implementation Plan'!P177&lt;1,$C430-'B. Implementation Plan'!P177&gt;0),MOD('B. Implementation Plan'!P177,1)*(E402+O402)*(1-'B. Implementation Plan'!P175)*'B. Implementation Plan'!P176*(1-'B. Implementation Plan'!P147)^($C430-1),(E402+O402)*(1-'B. Implementation Plan'!P175)*'B. Implementation Plan'!P176*(1-'B. Implementation Plan'!P147)^($C430-1)),0),0)</f>
        <v>0</v>
      </c>
      <c r="P430" s="78" t="str">
        <f t="shared" si="334"/>
        <v/>
      </c>
    </row>
    <row r="431" spans="3:16" s="1" customFormat="1" x14ac:dyDescent="0.3">
      <c r="C431" s="376" t="s">
        <v>489</v>
      </c>
      <c r="E431"/>
      <c r="F431" s="371">
        <f t="shared" ref="F431:O431" ca="1" si="335">IF(F397&gt;0,SUM(F421:F430),0)</f>
        <v>0</v>
      </c>
      <c r="G431" s="371">
        <f t="shared" ca="1" si="335"/>
        <v>0</v>
      </c>
      <c r="H431" s="371">
        <f t="shared" ca="1" si="335"/>
        <v>0</v>
      </c>
      <c r="I431" s="371">
        <f t="shared" ca="1" si="335"/>
        <v>0</v>
      </c>
      <c r="J431" s="371">
        <f t="shared" ca="1" si="335"/>
        <v>0</v>
      </c>
      <c r="K431" s="371">
        <f t="shared" ca="1" si="335"/>
        <v>0</v>
      </c>
      <c r="L431" s="371">
        <f t="shared" ca="1" si="335"/>
        <v>0</v>
      </c>
      <c r="M431" s="371">
        <f t="shared" ca="1" si="335"/>
        <v>0</v>
      </c>
      <c r="N431" s="371">
        <f t="shared" ca="1" si="335"/>
        <v>0</v>
      </c>
      <c r="O431" s="371">
        <f t="shared" ca="1" si="335"/>
        <v>0</v>
      </c>
      <c r="P431" s="325">
        <f ca="1">SUM(E431:O431)</f>
        <v>0</v>
      </c>
    </row>
    <row r="432" spans="3:16" s="1" customFormat="1" x14ac:dyDescent="0.3">
      <c r="C432" s="353" t="s">
        <v>490</v>
      </c>
      <c r="E432"/>
      <c r="F432" s="324">
        <f ca="1">MIN(IFERROR(ROUNDUP(IF(F397&gt;0,INDEX(F421:F430,MATCH(9.99999999999999E+307,P421:P430))/IF(MOD('B. Implementation Plan'!P177,1)=0,1,MOD('B. Implementation Plan'!P177,1)),0),0),0),MAX(E421:E430))</f>
        <v>0</v>
      </c>
      <c r="G432" s="324">
        <f ca="1">MIN(IFERROR(ROUNDUP(IF(G397&gt;0,INDEX(G421:G430,MATCH(9.99999999999999E+307,P421:P430))/IF(MOD('B. Implementation Plan'!P177,1)=0,1,MOD('B. Implementation Plan'!P177,1)),0),0),0),MAX(E421:F430))</f>
        <v>0</v>
      </c>
      <c r="H432" s="324">
        <f ca="1">MIN(IFERROR(ROUNDUP(IF(H397&gt;0,INDEX(H421:H430,MATCH(9.99999999999999E+307,P421:P430))/IF(MOD('B. Implementation Plan'!P177,1)=0,1,MOD('B. Implementation Plan'!P177,1)),0),0),0),MAX(E421:G430))</f>
        <v>0</v>
      </c>
      <c r="I432" s="324">
        <f ca="1">MIN(IFERROR(ROUNDUP(IF(I397&gt;0,INDEX(I421:I430,MATCH(9.99999999999999E+307,P421:P430))/IF(MOD('B. Implementation Plan'!P177,1)=0,1,MOD('B. Implementation Plan'!P177,1)),0),0),0),MAX(E421:H430))</f>
        <v>0</v>
      </c>
      <c r="J432" s="324">
        <f ca="1">MIN(IFERROR(ROUNDUP(IF(J397&gt;0,INDEX(J421:J430,MATCH(9.99999999999999E+307,P421:P430))/IF(MOD('B. Implementation Plan'!P177,1)=0,1,MOD('B. Implementation Plan'!P177,1)),0),0),0),MAX(E421:I430))</f>
        <v>0</v>
      </c>
      <c r="K432" s="324">
        <f ca="1">MIN(IFERROR(ROUNDUP(IF(K397&gt;0,INDEX(K421:K430,MATCH(9.99999999999999E+307,P421:P430))/IF(MOD('B. Implementation Plan'!P177,1)=0,1,MOD('B. Implementation Plan'!P177,1)),0),0),0),MAX(E421:J430))</f>
        <v>0</v>
      </c>
      <c r="L432" s="324">
        <f ca="1">MIN(IFERROR(ROUNDUP(IF(L397&gt;0,INDEX(L421:L430,MATCH(9.99999999999999E+307,P421:P430))/IF(MOD('B. Implementation Plan'!P177,1)=0,1,MOD('B. Implementation Plan'!P177,1)),0),0),0),MAX(E421:K430))</f>
        <v>0</v>
      </c>
      <c r="M432" s="324">
        <f ca="1">MIN(IFERROR(ROUNDUP(IF(M397&gt;0,INDEX(M421:M430,MATCH(9.99999999999999E+307,P421:P430))/IF(MOD('B. Implementation Plan'!P177,1)=0,1,MOD('B. Implementation Plan'!P177,1)),0),0),0),MAX(E421:L430))</f>
        <v>0</v>
      </c>
      <c r="N432" s="324">
        <f ca="1">MIN(IFERROR(ROUNDUP(IF(N397&gt;0,INDEX(N421:N430,MATCH(9.99999999999999E+307,P421:P430))/IF(MOD('B. Implementation Plan'!P177,1)=0,1,MOD('B. Implementation Plan'!P177,1)),0),0),0),MAX(E421:M430))</f>
        <v>0</v>
      </c>
      <c r="O432" s="324">
        <f ca="1">MIN(IFERROR(ROUNDUP(IF(O397&gt;0,INDEX(O421:O430,MATCH(9.99999999999999E+307,P421:P430))/IF(MOD('B. Implementation Plan'!P177,1)=0,1,MOD('B. Implementation Plan'!P177,1)),0),0),0),MAX(E421:N430))</f>
        <v>0</v>
      </c>
      <c r="P432" s="325">
        <f ca="1">SUM(E432:O432)</f>
        <v>0</v>
      </c>
    </row>
    <row r="433" spans="1:16" s="365" customFormat="1" x14ac:dyDescent="0.3">
      <c r="C433" s="326" t="s">
        <v>494</v>
      </c>
      <c r="E433"/>
      <c r="F433" s="347">
        <f ca="1">ROUNDUP(IF(F397&gt;0,IF(SUM(E432:F432,E433:E433)*'B. Implementation Plan'!P147&gt;P432,0,-ROUND(SUM(E432:F432,E433:E433)*'B. Implementation Plan'!P147,0)),0),0)</f>
        <v>0</v>
      </c>
      <c r="G433" s="347">
        <f ca="1">ROUNDUP(IF(G397&gt;0,IF(SUM(E432:G432,E433:F433)*'B. Implementation Plan'!P147&gt;P432,0,-ROUND(SUM(E432:G432,E433:F433)*'B. Implementation Plan'!P147,0)),0),0)</f>
        <v>0</v>
      </c>
      <c r="H433" s="347">
        <f ca="1">ROUNDUP(IF(H397&gt;0,IF(SUM(E432:H432,E433:G433)*'B. Implementation Plan'!P147&gt;P432,0,-ROUND(SUM(E432:H432,E433:G433)*'B. Implementation Plan'!P147,0)),0),0)</f>
        <v>0</v>
      </c>
      <c r="I433" s="347">
        <f ca="1">ROUNDUP(IF(I397&gt;0,IF(SUM(E432:I432,E433:H433)*'B. Implementation Plan'!P147&gt;P432,0,-ROUND(SUM(E432:I432,E433:H433)*'B. Implementation Plan'!P147,0)),0),0)</f>
        <v>0</v>
      </c>
      <c r="J433" s="347">
        <f ca="1">ROUNDUP(IF(J397&gt;0,IF(SUM(E432:J432,E433:I433)*'B. Implementation Plan'!P147&gt;P432,0,-ROUND(SUM(E432:J432,E433:I433)*'B. Implementation Plan'!P147,0)),0),0)</f>
        <v>0</v>
      </c>
      <c r="K433" s="347">
        <f ca="1">ROUNDUP(IF(K397&gt;0,IF(SUM(E432:K432,E433:J433)*'B. Implementation Plan'!P147&gt;P432,0,-ROUND(SUM(E432:K432,E433:J433)*'B. Implementation Plan'!P147,0)),0),0)</f>
        <v>0</v>
      </c>
      <c r="L433" s="347">
        <f ca="1">ROUNDUP(IF(L397&gt;0,IF(SUM(E432:L432,E433:K433)*'B. Implementation Plan'!P147&gt;P432,0,-ROUND(SUM(E432:L432,E433:K433)*'B. Implementation Plan'!P147,0)),0),0)</f>
        <v>0</v>
      </c>
      <c r="M433" s="347">
        <f ca="1">ROUNDUP(IF(M397&gt;0,IF(SUM(E432:M432,E433:L433)*'B. Implementation Plan'!P147&gt;P432,0,-ROUND(SUM(E432:M432,E433:L433)*'B. Implementation Plan'!P147,0)),0),0)</f>
        <v>0</v>
      </c>
      <c r="N433" s="347">
        <f ca="1">ROUNDUP(IF(N397&gt;0,IF(SUM(E432:N432,E433:M433)*'B. Implementation Plan'!P147&gt;P432,0,-ROUND(SUM(E432:N432,E433:M433)*'B. Implementation Plan'!P147,0)),0),0)</f>
        <v>0</v>
      </c>
      <c r="O433" s="347">
        <f ca="1">ROUNDUP(IF(O397&gt;0,IF(SUM(E432:O432,E433:N433)*'B. Implementation Plan'!P147&gt;P432,0,-ROUND(SUM(E432:O432,E433:N433)*'B. Implementation Plan'!P147,0)),0),0)</f>
        <v>0</v>
      </c>
      <c r="P433" s="354">
        <f ca="1">SUM(E433:O433)</f>
        <v>0</v>
      </c>
    </row>
    <row r="434" spans="1:16" s="365" customFormat="1" ht="15" thickBot="1" x14ac:dyDescent="0.35">
      <c r="C434" s="326" t="s">
        <v>495</v>
      </c>
      <c r="E434"/>
      <c r="F434" s="347">
        <f ca="1">IF(F397&gt;0,SUM(E432:F433),0)</f>
        <v>0</v>
      </c>
      <c r="G434" s="347">
        <f ca="1">IF(G397&gt;0,SUM(E432:G433),0)</f>
        <v>0</v>
      </c>
      <c r="H434" s="347">
        <f ca="1">IF(H397&gt;0,SUM(E432:H433),0)</f>
        <v>0</v>
      </c>
      <c r="I434" s="347">
        <f ca="1">IF(I397&gt;0,SUM(E432:I433),0)</f>
        <v>0</v>
      </c>
      <c r="J434" s="347">
        <f ca="1">IF(J397&gt;0,SUM(E432:J433),0)</f>
        <v>0</v>
      </c>
      <c r="K434" s="347">
        <f ca="1">IF(K397&gt;0,SUM(E432:K433),0)</f>
        <v>0</v>
      </c>
      <c r="L434" s="347">
        <f ca="1">IF(L397&gt;0,SUM(E432:L433),0)</f>
        <v>0</v>
      </c>
      <c r="M434" s="347">
        <f ca="1">IF(M397&gt;0,SUM(E432:M433),0)</f>
        <v>0</v>
      </c>
      <c r="N434" s="347">
        <f ca="1">IF(N397&gt;0,SUM(E432:N433),0)</f>
        <v>0</v>
      </c>
      <c r="O434" s="369">
        <f ca="1">IF(O397&gt;0,SUM(E432:O433),0)</f>
        <v>0</v>
      </c>
      <c r="P434" s="375">
        <f t="shared" ref="P434" ca="1" si="336">IF(O434=0,IF(N434=0,IF(M434=0,IF(L434=0,IF(K434=0,IF(J434=0,IF(I434=0,IF(H434=0,IF(G434=0,IF(F434=0,E434,F434),G434),H434),I434),J434),K434),L434),M434),N434),O434)</f>
        <v>0</v>
      </c>
    </row>
    <row r="435" spans="1:16" ht="16.2" thickBot="1" x14ac:dyDescent="0.35">
      <c r="C435" s="16" t="s">
        <v>496</v>
      </c>
      <c r="E435" s="149">
        <v>0</v>
      </c>
      <c r="F435" s="149">
        <v>1</v>
      </c>
      <c r="G435" s="149">
        <v>2</v>
      </c>
      <c r="H435" s="149">
        <v>3</v>
      </c>
      <c r="I435" s="149">
        <v>4</v>
      </c>
      <c r="J435" s="149">
        <v>5</v>
      </c>
      <c r="K435" s="149">
        <v>6</v>
      </c>
      <c r="L435" s="149">
        <v>7</v>
      </c>
      <c r="M435" s="149">
        <v>8</v>
      </c>
      <c r="N435" s="149">
        <v>9</v>
      </c>
      <c r="O435" s="149">
        <v>10</v>
      </c>
      <c r="P435"/>
    </row>
    <row r="436" spans="1:16" s="1" customFormat="1" x14ac:dyDescent="0.3">
      <c r="C436" s="326" t="s">
        <v>500</v>
      </c>
      <c r="E436" s="372">
        <f ca="1">ROUNDUP(E399*'B. Implementation Plan'!E169+(E397-E399)*'B. Implementation Plan'!P175,0)</f>
        <v>0</v>
      </c>
      <c r="F436" s="372">
        <f ca="1">ROUNDUP(F399*'B. Implementation Plan'!E169+(F397-F399)*'B. Implementation Plan'!P175,0)</f>
        <v>0</v>
      </c>
      <c r="G436" s="372">
        <f ca="1">ROUNDUP(G399*'B. Implementation Plan'!E169+(G397-G399)*'B. Implementation Plan'!P175,0)</f>
        <v>0</v>
      </c>
      <c r="H436" s="372">
        <f ca="1">ROUNDUP(H399*'B. Implementation Plan'!E169+(H397-H399)*'B. Implementation Plan'!P175,0)</f>
        <v>0</v>
      </c>
      <c r="I436" s="372">
        <f ca="1">ROUNDUP(I399*'B. Implementation Plan'!E169+(I397-I399)*'B. Implementation Plan'!P175,0)</f>
        <v>0</v>
      </c>
      <c r="J436" s="372">
        <f ca="1">ROUNDUP(J399*'B. Implementation Plan'!E169+(J397-J399)*'B. Implementation Plan'!P175,0)</f>
        <v>0</v>
      </c>
      <c r="K436" s="372">
        <f ca="1">ROUNDUP(K399*'B. Implementation Plan'!E169+(K397-K399)*'B. Implementation Plan'!P175,0)</f>
        <v>0</v>
      </c>
      <c r="L436" s="372">
        <f ca="1">ROUNDUP(L399*'B. Implementation Plan'!E169+(L397-L399)*'B. Implementation Plan'!P175,0)</f>
        <v>0</v>
      </c>
      <c r="M436" s="372">
        <f ca="1">ROUNDUP(M399*'B. Implementation Plan'!E169+(M397-M399)*'B. Implementation Plan'!P175,0)</f>
        <v>0</v>
      </c>
      <c r="N436" s="372">
        <f ca="1">ROUNDUP(N399*'B. Implementation Plan'!E169+(N397-N399)*'B. Implementation Plan'!P175,0)</f>
        <v>0</v>
      </c>
      <c r="O436" s="372">
        <f ca="1">ROUNDUP(O399*'B. Implementation Plan'!E169+(O397-O399)*'B. Implementation Plan'!P175,0)</f>
        <v>0</v>
      </c>
      <c r="P436" s="379">
        <f t="shared" ref="P436:P437" ca="1" si="337">IF(O436=0,IF(N436=0,IF(M436=0,IF(L436=0,IF(K436=0,IF(J436=0,IF(I436=0,IF(H436=0,IF(G436=0,IF(F436=0,E436,F436),G436),H436),I436),J436),K436),L436),M436),N436),O436)</f>
        <v>0</v>
      </c>
    </row>
    <row r="437" spans="1:16" s="1" customFormat="1" x14ac:dyDescent="0.3">
      <c r="C437" s="326" t="s">
        <v>497</v>
      </c>
      <c r="E437" s="378">
        <f t="shared" ref="E437:O437" ca="1" si="338">IF(E397&gt;0,E436/E397,0)</f>
        <v>0</v>
      </c>
      <c r="F437" s="378">
        <f t="shared" ca="1" si="338"/>
        <v>0</v>
      </c>
      <c r="G437" s="378">
        <f t="shared" ca="1" si="338"/>
        <v>0</v>
      </c>
      <c r="H437" s="378">
        <f t="shared" ca="1" si="338"/>
        <v>0</v>
      </c>
      <c r="I437" s="378">
        <f t="shared" ca="1" si="338"/>
        <v>0</v>
      </c>
      <c r="J437" s="378">
        <f t="shared" ca="1" si="338"/>
        <v>0</v>
      </c>
      <c r="K437" s="378">
        <f t="shared" ca="1" si="338"/>
        <v>0</v>
      </c>
      <c r="L437" s="378">
        <f t="shared" ca="1" si="338"/>
        <v>0</v>
      </c>
      <c r="M437" s="378">
        <f t="shared" ca="1" si="338"/>
        <v>0</v>
      </c>
      <c r="N437" s="378">
        <f t="shared" ca="1" si="338"/>
        <v>0</v>
      </c>
      <c r="O437" s="378">
        <f t="shared" ca="1" si="338"/>
        <v>0</v>
      </c>
      <c r="P437" s="111">
        <f t="shared" ca="1" si="337"/>
        <v>0</v>
      </c>
    </row>
    <row r="438" spans="1:16" s="365" customFormat="1" x14ac:dyDescent="0.3">
      <c r="C438" s="326" t="s">
        <v>498</v>
      </c>
      <c r="F438" s="372">
        <f t="shared" ref="F438:O438" ca="1" si="339">F415+F431</f>
        <v>0</v>
      </c>
      <c r="G438" s="372">
        <f t="shared" ca="1" si="339"/>
        <v>0</v>
      </c>
      <c r="H438" s="372">
        <f t="shared" ca="1" si="339"/>
        <v>0</v>
      </c>
      <c r="I438" s="372">
        <f t="shared" ca="1" si="339"/>
        <v>0</v>
      </c>
      <c r="J438" s="372">
        <f t="shared" ca="1" si="339"/>
        <v>0</v>
      </c>
      <c r="K438" s="372">
        <f t="shared" ca="1" si="339"/>
        <v>0</v>
      </c>
      <c r="L438" s="372">
        <f t="shared" ca="1" si="339"/>
        <v>0</v>
      </c>
      <c r="M438" s="372">
        <f t="shared" ca="1" si="339"/>
        <v>0</v>
      </c>
      <c r="N438" s="372">
        <f t="shared" ca="1" si="339"/>
        <v>0</v>
      </c>
      <c r="O438" s="372">
        <f t="shared" ca="1" si="339"/>
        <v>0</v>
      </c>
      <c r="P438" s="354">
        <f ca="1">MAX(F438:O438)</f>
        <v>0</v>
      </c>
    </row>
    <row r="439" spans="1:16" s="1" customFormat="1" x14ac:dyDescent="0.3">
      <c r="C439" s="326" t="s">
        <v>544</v>
      </c>
      <c r="F439" s="371">
        <f ca="1">F418+F434</f>
        <v>0</v>
      </c>
      <c r="G439" s="371">
        <f t="shared" ref="G439:O439" ca="1" si="340">G418+G434</f>
        <v>0</v>
      </c>
      <c r="H439" s="371">
        <f t="shared" ca="1" si="340"/>
        <v>0</v>
      </c>
      <c r="I439" s="371">
        <f t="shared" ca="1" si="340"/>
        <v>0</v>
      </c>
      <c r="J439" s="371">
        <f t="shared" ca="1" si="340"/>
        <v>0</v>
      </c>
      <c r="K439" s="371">
        <f t="shared" ca="1" si="340"/>
        <v>0</v>
      </c>
      <c r="L439" s="371">
        <f t="shared" ca="1" si="340"/>
        <v>0</v>
      </c>
      <c r="M439" s="371">
        <f t="shared" ca="1" si="340"/>
        <v>0</v>
      </c>
      <c r="N439" s="371">
        <f t="shared" ca="1" si="340"/>
        <v>0</v>
      </c>
      <c r="O439" s="371">
        <f t="shared" ca="1" si="340"/>
        <v>0</v>
      </c>
      <c r="P439" s="354">
        <f t="shared" ref="P439:P440" ca="1" si="341">IF(O439=0,IF(N439=0,IF(M439=0,IF(L439=0,IF(K439=0,IF(J439=0,IF(I439=0,IF(H439=0,IF(G439=0,IF(F439=0,E439,F439),G439),H439),I439),J439),K439),L439),M439),N439),O439)</f>
        <v>0</v>
      </c>
    </row>
    <row r="440" spans="1:16" s="1" customFormat="1" ht="15" thickBot="1" x14ac:dyDescent="0.35">
      <c r="C440" s="353" t="s">
        <v>525</v>
      </c>
      <c r="E440" s="373">
        <f t="shared" ref="E440:O440" ca="1" si="342">IFERROR((E436+E439)/E397,0)</f>
        <v>0</v>
      </c>
      <c r="F440" s="373">
        <f t="shared" ca="1" si="342"/>
        <v>0</v>
      </c>
      <c r="G440" s="373">
        <f t="shared" ca="1" si="342"/>
        <v>0</v>
      </c>
      <c r="H440" s="373">
        <f t="shared" ca="1" si="342"/>
        <v>0</v>
      </c>
      <c r="I440" s="373">
        <f t="shared" ca="1" si="342"/>
        <v>0</v>
      </c>
      <c r="J440" s="373">
        <f t="shared" ca="1" si="342"/>
        <v>0</v>
      </c>
      <c r="K440" s="373">
        <f t="shared" ca="1" si="342"/>
        <v>0</v>
      </c>
      <c r="L440" s="373">
        <f t="shared" ca="1" si="342"/>
        <v>0</v>
      </c>
      <c r="M440" s="373">
        <f t="shared" ca="1" si="342"/>
        <v>0</v>
      </c>
      <c r="N440" s="373">
        <f t="shared" ca="1" si="342"/>
        <v>0</v>
      </c>
      <c r="O440" s="373">
        <f t="shared" ca="1" si="342"/>
        <v>0</v>
      </c>
      <c r="P440" s="190">
        <f t="shared" ca="1" si="341"/>
        <v>0</v>
      </c>
    </row>
    <row r="441" spans="1:16" x14ac:dyDescent="0.3">
      <c r="P441"/>
    </row>
    <row r="442" spans="1:16" ht="15" thickBot="1" x14ac:dyDescent="0.35">
      <c r="P442"/>
    </row>
    <row r="443" spans="1:16" s="67" customFormat="1" ht="15.6" x14ac:dyDescent="0.3">
      <c r="A443" s="62"/>
      <c r="B443" s="62" t="s">
        <v>534</v>
      </c>
      <c r="D443" s="65"/>
      <c r="E443" s="66">
        <v>0</v>
      </c>
      <c r="F443" s="66">
        <v>1</v>
      </c>
      <c r="G443" s="66">
        <v>2</v>
      </c>
      <c r="H443" s="66">
        <v>3</v>
      </c>
      <c r="I443" s="66">
        <v>4</v>
      </c>
      <c r="J443" s="66">
        <v>5</v>
      </c>
      <c r="K443" s="66">
        <v>6</v>
      </c>
      <c r="L443" s="66">
        <v>7</v>
      </c>
      <c r="M443" s="66">
        <v>8</v>
      </c>
      <c r="N443" s="66">
        <v>9</v>
      </c>
      <c r="O443" s="213">
        <v>10</v>
      </c>
      <c r="P443" s="351" t="s">
        <v>2</v>
      </c>
    </row>
    <row r="444" spans="1:16" x14ac:dyDescent="0.3">
      <c r="A444" s="1"/>
      <c r="B444" s="1"/>
      <c r="C444" s="326" t="s">
        <v>457</v>
      </c>
      <c r="D444" s="368"/>
      <c r="E444" s="15">
        <f ca="1">E103</f>
        <v>620</v>
      </c>
      <c r="F444" s="15">
        <f t="shared" ref="F444:O444" ca="1" si="343">F103</f>
        <v>635</v>
      </c>
      <c r="G444" s="15">
        <f t="shared" ca="1" si="343"/>
        <v>651</v>
      </c>
      <c r="H444" s="15">
        <f t="shared" ca="1" si="343"/>
        <v>666</v>
      </c>
      <c r="I444" s="15">
        <f t="shared" ca="1" si="343"/>
        <v>682</v>
      </c>
      <c r="J444" s="15">
        <f t="shared" ca="1" si="343"/>
        <v>698</v>
      </c>
      <c r="K444" s="15">
        <f t="shared" ca="1" si="343"/>
        <v>713</v>
      </c>
      <c r="L444" s="15">
        <f t="shared" ca="1" si="343"/>
        <v>729</v>
      </c>
      <c r="M444" s="15">
        <f t="shared" ca="1" si="343"/>
        <v>745</v>
      </c>
      <c r="N444" s="15">
        <f t="shared" ca="1" si="343"/>
        <v>760</v>
      </c>
      <c r="O444" s="15">
        <f t="shared" ca="1" si="343"/>
        <v>776</v>
      </c>
      <c r="P444" s="78">
        <f ca="1">IF(O444=0,IF(N444=0,IF(M444=0,IF(L444=0,IF(K444=0,IF(J444=0,IF(I444=0,IF(H444=0,IF(G444=0,IF(F444=0,E444,F444),G444),H444),I444),J444),K444),L444),M444),N444),O444)</f>
        <v>776</v>
      </c>
    </row>
    <row r="445" spans="1:16" x14ac:dyDescent="0.3">
      <c r="A445" s="1"/>
      <c r="B445" s="1"/>
      <c r="C445" s="326" t="s">
        <v>459</v>
      </c>
      <c r="D445" s="296"/>
      <c r="E445" s="15">
        <f ca="1">IF(E444&gt;0,'B. Implementation Plan'!F133,0)</f>
        <v>620</v>
      </c>
      <c r="F445" s="15">
        <f ca="1">IF(F444&gt;0,'B. Implementation Plan'!F133,0)</f>
        <v>620</v>
      </c>
      <c r="G445" s="15">
        <f ca="1">IF(G444&gt;0,'B. Implementation Plan'!F133,0)</f>
        <v>620</v>
      </c>
      <c r="H445" s="15">
        <f ca="1">IF(H444&gt;0,'B. Implementation Plan'!F133,0)</f>
        <v>620</v>
      </c>
      <c r="I445" s="15">
        <f ca="1">IF(I444&gt;0,'B. Implementation Plan'!F133,0)</f>
        <v>620</v>
      </c>
      <c r="J445" s="15">
        <f ca="1">IF(J444&gt;0,'B. Implementation Plan'!F133,0)</f>
        <v>620</v>
      </c>
      <c r="K445" s="15">
        <f ca="1">IF(K444&gt;0,'B. Implementation Plan'!F133,0)</f>
        <v>620</v>
      </c>
      <c r="L445" s="15">
        <f ca="1">IF(L444&gt;0,'B. Implementation Plan'!F133,0)</f>
        <v>620</v>
      </c>
      <c r="M445" s="15">
        <f ca="1">IF(M444&gt;0,'B. Implementation Plan'!F133,0)</f>
        <v>620</v>
      </c>
      <c r="N445" s="15">
        <f ca="1">IF(N444&gt;0,'B. Implementation Plan'!F133,0)</f>
        <v>620</v>
      </c>
      <c r="O445" s="15">
        <f ca="1">IF(O444&gt;0,'B. Implementation Plan'!F133,0)</f>
        <v>620</v>
      </c>
      <c r="P445" s="78">
        <f ca="1">IF(O445=0,IF(N445=0,IF(M445=0,IF(L445=0,IF(K445=0,IF(J445=0,IF(I445=0,IF(H445=0,IF(G445=0,IF(F445=0,E445,F445),G445),H445),I445),J445),K445),L445),M445),N445),O445)</f>
        <v>620</v>
      </c>
    </row>
    <row r="446" spans="1:16" x14ac:dyDescent="0.3">
      <c r="C446" s="59" t="s">
        <v>460</v>
      </c>
      <c r="E446" s="324">
        <f ca="1">IF(E444&gt;0,ROUND('B. Implementation Plan'!F133*(1-'B. Implementation Plan'!P147)^E443,0),0)</f>
        <v>620</v>
      </c>
      <c r="F446" s="324">
        <f ca="1">IF(F444&gt;0,ROUND('B. Implementation Plan'!F133*(1-'B. Implementation Plan'!P147)^F443,0),0)</f>
        <v>527</v>
      </c>
      <c r="G446" s="324">
        <f ca="1">IF(G444&gt;0,ROUND('B. Implementation Plan'!F133*(1-'B. Implementation Plan'!P147)^G443,0),0)</f>
        <v>448</v>
      </c>
      <c r="H446" s="324">
        <f ca="1">IF(H444&gt;0,ROUND('B. Implementation Plan'!F133*(1-'B. Implementation Plan'!P147)^H443,0),0)</f>
        <v>381</v>
      </c>
      <c r="I446" s="324">
        <f ca="1">IF(I444&gt;0,ROUND('B. Implementation Plan'!F133*(1-'B. Implementation Plan'!P147)^I443,0),0)</f>
        <v>324</v>
      </c>
      <c r="J446" s="324">
        <f ca="1">IF(J444&gt;0,ROUND('B. Implementation Plan'!F133*(1-'B. Implementation Plan'!P147)^J443,0),0)</f>
        <v>275</v>
      </c>
      <c r="K446" s="324">
        <f ca="1">IF(K444&gt;0,ROUND('B. Implementation Plan'!F133*(1-'B. Implementation Plan'!P147)^K443,0),0)</f>
        <v>234</v>
      </c>
      <c r="L446" s="324">
        <f ca="1">IF(L444&gt;0,ROUND('B. Implementation Plan'!F133*(1-'B. Implementation Plan'!P147)^L443,0),0)</f>
        <v>199</v>
      </c>
      <c r="M446" s="324">
        <f ca="1">IF(M444&gt;0,ROUND('B. Implementation Plan'!F133*(1-'B. Implementation Plan'!P147)^M443,0),0)</f>
        <v>169</v>
      </c>
      <c r="N446" s="324">
        <f ca="1">IF(N444&gt;0,ROUND('B. Implementation Plan'!F133*(1-'B. Implementation Plan'!P147)^N443,0),0)</f>
        <v>144</v>
      </c>
      <c r="O446" s="324">
        <f ca="1">IF(O444&gt;0,ROUND('B. Implementation Plan'!F133*(1-'B. Implementation Plan'!P147)^O443,0),0)</f>
        <v>122</v>
      </c>
      <c r="P446" s="78">
        <f ca="1">IF(O446=0,IF(N446=0,IF(M446=0,IF(L446=0,IF(K446=0,IF(J446=0,IF(I446=0,IF(H446=0,IF(G446=0,IF(F446=0,E446,F446),G446),H446),I446),J446),K446),L446),M446),N446),O446)</f>
        <v>122</v>
      </c>
    </row>
    <row r="447" spans="1:16" s="1" customFormat="1" x14ac:dyDescent="0.3">
      <c r="C447" s="59" t="s">
        <v>487</v>
      </c>
      <c r="E447" s="380"/>
      <c r="F447" s="324">
        <f ca="1">IF('B. Implementation Plan'!P174=0,0,IF(F443&lt;=ROUNDUP(1/'B. Implementation Plan'!P174,0),ROUND(IF(AND(F443-1/'B. Implementation Plan'!P174&lt;1,F443-1/'B. Implementation Plan'!P174&gt;0),F446*MOD(1/'B. Implementation Plan'!P174,1)/(1/'B. Implementation Plan'!P174),MIN(F446-SUM(E447:E447),F446*'B. Implementation Plan'!P174)*(1-'B. Implementation Plan'!F169)*'B. Implementation Plan'!F171),0),0))</f>
        <v>0</v>
      </c>
      <c r="G447" s="324">
        <f>IF('B. Implementation Plan'!P174=0,0,IF(G443&lt;=ROUNDUP(1/'B. Implementation Plan'!P174,0),ROUND(IF(AND(G443-1/'B. Implementation Plan'!P174&lt;1,G443-1/'B. Implementation Plan'!P174&gt;0),G446*MOD(1/'B. Implementation Plan'!P174,1)/(1/'B. Implementation Plan'!P174),MIN(G446-SUM(E447:F447),G446*'B. Implementation Plan'!P174)*(1-'B. Implementation Plan'!F169)*'B. Implementation Plan'!F171),0),0))</f>
        <v>0</v>
      </c>
      <c r="H447" s="324">
        <f>IF('B. Implementation Plan'!P174=0,0,IF(H443&lt;=ROUNDUP(1/'B. Implementation Plan'!P174,0),ROUND(IF(AND(H443-1/'B. Implementation Plan'!P174&lt;1,H443-1/'B. Implementation Plan'!P174&gt;0),H446*MOD(1/'B. Implementation Plan'!P174,1)/(1/'B. Implementation Plan'!P174),MIN(H446-SUM(E447:G447),H446*'B. Implementation Plan'!P174)*(1-'B. Implementation Plan'!F169)*'B. Implementation Plan'!F171),0),0))</f>
        <v>0</v>
      </c>
      <c r="I447" s="324">
        <f>IF('B. Implementation Plan'!P174=0,0,IF(I443&lt;=ROUNDUP(1/'B. Implementation Plan'!P174,0),ROUND(IF(AND(I443-1/'B. Implementation Plan'!P174&lt;1,I443-1/'B. Implementation Plan'!P174&gt;0),I446*MOD(1/'B. Implementation Plan'!P174,1)/(1/'B. Implementation Plan'!P174),MIN(I446-SUM(E447:H447),I446*'B. Implementation Plan'!P174)*(1-'B. Implementation Plan'!F169)*'B. Implementation Plan'!F171),0),0))</f>
        <v>0</v>
      </c>
      <c r="J447" s="324">
        <f>IF('B. Implementation Plan'!P174=0,0,IF(J443&lt;=ROUNDUP(1/'B. Implementation Plan'!P174,0),ROUND(IF(AND(J443-1/'B. Implementation Plan'!P174&lt;1,J443-1/'B. Implementation Plan'!P174&gt;0),J446*MOD(1/'B. Implementation Plan'!P174,1)/(1/'B. Implementation Plan'!P174),MIN(J446-SUM(E447:I447),J446*'B. Implementation Plan'!P174)*(1-'B. Implementation Plan'!F169)*'B. Implementation Plan'!F171),0),0))</f>
        <v>0</v>
      </c>
      <c r="K447" s="324">
        <f>IF('B. Implementation Plan'!P174=0,0,IF(K443&lt;=ROUNDUP(1/'B. Implementation Plan'!P174,0),ROUND(IF(AND(K443-1/'B. Implementation Plan'!P174&lt;1,K443-1/'B. Implementation Plan'!P174&gt;0),K446*MOD(1/'B. Implementation Plan'!P174,1)/(1/'B. Implementation Plan'!P174),MIN(K446-SUM(E447:J447),K446*'B. Implementation Plan'!P174)*(1-'B. Implementation Plan'!F169)*'B. Implementation Plan'!F171),0),0))</f>
        <v>0</v>
      </c>
      <c r="L447" s="324">
        <f>IF('B. Implementation Plan'!P174=0,0,IF(L443&lt;=ROUNDUP(1/'B. Implementation Plan'!P174,0),ROUND(IF(AND(L443-1/'B. Implementation Plan'!P174&lt;1,L443-1/'B. Implementation Plan'!P174&gt;0),L446*MOD(1/'B. Implementation Plan'!P174,1)/(1/'B. Implementation Plan'!P174),MIN(L446-SUM(E447:K447),L446*'B. Implementation Plan'!P174)*(1-'B. Implementation Plan'!F169)*'B. Implementation Plan'!F171),0),0))</f>
        <v>0</v>
      </c>
      <c r="M447" s="324">
        <f>IF('B. Implementation Plan'!P174=0,0,IF(M443&lt;=ROUNDUP(1/'B. Implementation Plan'!P174,0),ROUND(IF(AND(M443-1/'B. Implementation Plan'!P174&lt;1,M443-1/'B. Implementation Plan'!P174&gt;0),M446*MOD(1/'B. Implementation Plan'!P174,1)/(1/'B. Implementation Plan'!P174),MIN(M446-SUM(E447:L447),M446*'B. Implementation Plan'!P174)*(1-'B. Implementation Plan'!F169)*'B. Implementation Plan'!F171),0),0))</f>
        <v>0</v>
      </c>
      <c r="N447" s="324">
        <f>IF('B. Implementation Plan'!P174=0,0,IF(N443&lt;=ROUNDUP(1/'B. Implementation Plan'!P174,0),ROUND(IF(AND(N443-1/'B. Implementation Plan'!P174&lt;1,N443-1/'B. Implementation Plan'!P174&gt;0),N446*MOD(1/'B. Implementation Plan'!P174,1)/(1/'B. Implementation Plan'!P174),MIN(N446-SUM(E447:M447),N446*'B. Implementation Plan'!P174)*(1-'B. Implementation Plan'!F169)*'B. Implementation Plan'!F171),0),0))</f>
        <v>0</v>
      </c>
      <c r="O447" s="324">
        <f>IF('B. Implementation Plan'!P174=0,0,IF(O443&lt;=ROUNDUP(1/'B. Implementation Plan'!P174,0),ROUND(IF(AND(O443-1/'B. Implementation Plan'!P174&lt;1,O443-1/'B. Implementation Plan'!P174&gt;0),O446*MOD(1/'B. Implementation Plan'!P174,1)/(1/'B. Implementation Plan'!P174),MIN(O446-SUM(E447:N447),O446*'B. Implementation Plan'!P174)*(1-'B. Implementation Plan'!F169)*'B. Implementation Plan'!F171),0),0))</f>
        <v>0</v>
      </c>
      <c r="P447" s="325">
        <f ca="1">SUM(E447:O447)</f>
        <v>0</v>
      </c>
    </row>
    <row r="448" spans="1:16" x14ac:dyDescent="0.3">
      <c r="C448" s="326" t="s">
        <v>458</v>
      </c>
      <c r="E448" s="15">
        <f t="shared" ref="E448:O448" ca="1" si="344">MAX(E444-E446,0)</f>
        <v>0</v>
      </c>
      <c r="F448" s="15">
        <f t="shared" ca="1" si="344"/>
        <v>108</v>
      </c>
      <c r="G448" s="15">
        <f t="shared" ca="1" si="344"/>
        <v>203</v>
      </c>
      <c r="H448" s="15">
        <f t="shared" ca="1" si="344"/>
        <v>285</v>
      </c>
      <c r="I448" s="15">
        <f t="shared" ca="1" si="344"/>
        <v>358</v>
      </c>
      <c r="J448" s="15">
        <f t="shared" ca="1" si="344"/>
        <v>423</v>
      </c>
      <c r="K448" s="15">
        <f t="shared" ca="1" si="344"/>
        <v>479</v>
      </c>
      <c r="L448" s="15">
        <f t="shared" ca="1" si="344"/>
        <v>530</v>
      </c>
      <c r="M448" s="15">
        <f t="shared" ca="1" si="344"/>
        <v>576</v>
      </c>
      <c r="N448" s="15">
        <f t="shared" ca="1" si="344"/>
        <v>616</v>
      </c>
      <c r="O448" s="366">
        <f t="shared" ca="1" si="344"/>
        <v>654</v>
      </c>
      <c r="P448" s="354">
        <f ca="1">IF(O448=0,IF(N448=0,IF(M448=0,IF(L448=0,IF(K448=0,IF(J448=0,IF(I448=0,IF(H448=0,IF(G448=0,IF(F448=0,E448,F448),G448),H448),I448),J448),K448),L448),M448),N448),O448)</f>
        <v>654</v>
      </c>
    </row>
    <row r="449" spans="3:16" ht="15" thickBot="1" x14ac:dyDescent="0.35">
      <c r="C449" s="59" t="s">
        <v>461</v>
      </c>
      <c r="E449" s="324">
        <f ca="1">IF(E444&gt;0,E448-D448+ROUND(D448*'B. Implementation Plan'!P147,0),0)</f>
        <v>0</v>
      </c>
      <c r="F449" s="324">
        <f ca="1">IF(F444&gt;0,F448-E448+ROUND(E448*'B. Implementation Plan'!P147,0),0)</f>
        <v>108</v>
      </c>
      <c r="G449" s="324">
        <f ca="1">IF(G444&gt;0,G448-F448+ROUND(F448*'B. Implementation Plan'!P147,0),0)</f>
        <v>111</v>
      </c>
      <c r="H449" s="324">
        <f ca="1">IF(H444&gt;0,H448-G448+ROUND(G448*'B. Implementation Plan'!P147,0),0)</f>
        <v>112</v>
      </c>
      <c r="I449" s="324">
        <f ca="1">IF(I444&gt;0,I448-H448+ROUND(H448*'B. Implementation Plan'!P147,0),0)</f>
        <v>116</v>
      </c>
      <c r="J449" s="324">
        <f ca="1">IF(J444&gt;0,J448-I448+ROUND(I448*'B. Implementation Plan'!P147,0),0)</f>
        <v>119</v>
      </c>
      <c r="K449" s="324">
        <f ca="1">IF(K444&gt;0,K448-J448+ROUND(J448*'B. Implementation Plan'!P147,0),0)</f>
        <v>119</v>
      </c>
      <c r="L449" s="324">
        <f ca="1">IF(L444&gt;0,L448-K448+ROUND(K448*'B. Implementation Plan'!P147,0),0)</f>
        <v>123</v>
      </c>
      <c r="M449" s="324">
        <f ca="1">IF(M444&gt;0,M448-L448+ROUND(L448*'B. Implementation Plan'!P147,0),0)</f>
        <v>126</v>
      </c>
      <c r="N449" s="324">
        <f ca="1">IF(N444&gt;0,N448-M448+ROUND(M448*'B. Implementation Plan'!P147,0),0)</f>
        <v>126</v>
      </c>
      <c r="O449" s="367">
        <f ca="1">IF(O444&gt;0,O448-N448+ROUND(N448*'B. Implementation Plan'!P147,0),0)</f>
        <v>130</v>
      </c>
      <c r="P449" s="79">
        <f ca="1">IF(O449=0,IF(N449=0,IF(M449=0,IF(L449=0,IF(K449=0,IF(J449=0,IF(I449=0,IF(H449=0,IF(G449=0,IF(F449=0,E449,F449),G449),H449),I449),J449),K449),L449),M449),N449),O449)</f>
        <v>130</v>
      </c>
    </row>
    <row r="450" spans="3:16" ht="15" thickBot="1" x14ac:dyDescent="0.35">
      <c r="C450" s="59" t="s">
        <v>485</v>
      </c>
    </row>
    <row r="451" spans="3:16" ht="15.6" x14ac:dyDescent="0.3">
      <c r="C451" s="326" t="s">
        <v>481</v>
      </c>
      <c r="F451" s="149">
        <v>1</v>
      </c>
      <c r="G451" s="149">
        <v>2</v>
      </c>
      <c r="H451" s="149">
        <v>3</v>
      </c>
      <c r="I451" s="149">
        <v>4</v>
      </c>
      <c r="J451" s="149">
        <v>5</v>
      </c>
      <c r="K451" s="149">
        <v>6</v>
      </c>
      <c r="L451" s="149">
        <v>7</v>
      </c>
      <c r="M451" s="149">
        <v>8</v>
      </c>
      <c r="N451" s="149">
        <v>9</v>
      </c>
      <c r="O451" s="374">
        <v>10</v>
      </c>
      <c r="P451" s="351" t="s">
        <v>2</v>
      </c>
    </row>
    <row r="452" spans="3:16" s="365" customFormat="1" x14ac:dyDescent="0.3">
      <c r="C452" s="370">
        <v>1</v>
      </c>
      <c r="E452"/>
      <c r="F452" s="347">
        <f>IF($C452&lt;=ROUNDUP('B. Implementation Plan'!P177,0),ROUND(IF(AND($C452-'B. Implementation Plan'!P177&lt;1,$C452-'B. Implementation Plan'!P177&gt;0),MOD('B. Implementation Plan'!P177,1)*F447*1*(1-'B. Implementation Plan'!P147)^($C452-1),F447*1*(1-'B. Implementation Plan'!P147)^($C452-1)),0),0)</f>
        <v>0</v>
      </c>
      <c r="G452" s="347">
        <f>IF($C452&lt;=ROUNDUP('B. Implementation Plan'!P177,0),ROUND(IF(AND($C452-'B. Implementation Plan'!P177&lt;1,$C452-'B. Implementation Plan'!P177&gt;0),MOD('B. Implementation Plan'!P177,1)*G447*1*(1-'B. Implementation Plan'!P147)^($C452-1),G447*1*(1-'B. Implementation Plan'!P147)^($C452-1)),0),0)</f>
        <v>0</v>
      </c>
      <c r="H452" s="347">
        <f>IF($C452&lt;=ROUNDUP('B. Implementation Plan'!P177,0),ROUND(IF(AND($C452-'B. Implementation Plan'!P177&lt;1,$C452-'B. Implementation Plan'!P177&gt;0),MOD('B. Implementation Plan'!P177,1)*H447*1*(1-'B. Implementation Plan'!P147)^($C452-1),H447*1*(1-'B. Implementation Plan'!P147)^($C452-1)),0),0)</f>
        <v>0</v>
      </c>
      <c r="I452" s="347">
        <f>IF($C452&lt;=ROUNDUP('B. Implementation Plan'!P177,0),ROUND(IF(AND($C452-'B. Implementation Plan'!P177&lt;1,$C452-'B. Implementation Plan'!P177&gt;0),MOD('B. Implementation Plan'!P177,1)*I447*1*(1-'B. Implementation Plan'!P147)^($C452-1),I447*1*(1-'B. Implementation Plan'!P147)^($C452-1)),0),0)</f>
        <v>0</v>
      </c>
      <c r="J452" s="347">
        <f>IF($C452&lt;=ROUNDUP('B. Implementation Plan'!P177,0),ROUND(IF(AND($C452-'B. Implementation Plan'!P177&lt;1,$C452-'B. Implementation Plan'!P177&gt;0),MOD('B. Implementation Plan'!P177,1)*J447*1*(1-'B. Implementation Plan'!P147)^($C452-1),J447*1*(1-'B. Implementation Plan'!P147)^($C452-1)),0),0)</f>
        <v>0</v>
      </c>
      <c r="K452" s="347">
        <f>IF($C452&lt;=ROUNDUP('B. Implementation Plan'!P177,0),ROUND(IF(AND($C452-'B. Implementation Plan'!P177&lt;1,$C452-'B. Implementation Plan'!P177&gt;0),MOD('B. Implementation Plan'!P177,1)*K447*1*(1-'B. Implementation Plan'!P147)^($C452-1),K447*1*(1-'B. Implementation Plan'!P147)^($C452-1)),0),0)</f>
        <v>0</v>
      </c>
      <c r="L452" s="347">
        <f>IF($C452&lt;=ROUNDUP('B. Implementation Plan'!P177,0),ROUND(IF(AND($C452-'B. Implementation Plan'!P177&lt;1,$C452-'B. Implementation Plan'!P177&gt;0),MOD('B. Implementation Plan'!P177,1)*L447*1*(1-'B. Implementation Plan'!P147)^($C452-1),L447*1*(1-'B. Implementation Plan'!P147)^($C452-1)),0),0)</f>
        <v>0</v>
      </c>
      <c r="M452" s="347">
        <f>IF($C452&lt;=ROUNDUP('B. Implementation Plan'!P177,0),ROUND(IF(AND($C452-'B. Implementation Plan'!P177&lt;1,$C452-'B. Implementation Plan'!P177&gt;0),MOD('B. Implementation Plan'!P177,1)*M447*1*(1-'B. Implementation Plan'!P147)^($C452-1),M447*1*(1-'B. Implementation Plan'!P147)^($C452-1)),0),0)</f>
        <v>0</v>
      </c>
      <c r="N452" s="347">
        <f>IF($C452&lt;=ROUNDUP('B. Implementation Plan'!P177,0),ROUND(IF(AND($C452-'B. Implementation Plan'!P177&lt;1,$C452-'B. Implementation Plan'!P177&gt;0),MOD('B. Implementation Plan'!P177,1)*N447*1*(1-'B. Implementation Plan'!P147)^($C452-1),N447*1*(1-'B. Implementation Plan'!P147)^($C452-1)),0),0)</f>
        <v>0</v>
      </c>
      <c r="O452" s="347">
        <f>IF($C452&lt;=ROUNDUP('B. Implementation Plan'!P177,0),ROUND(IF(AND($C452-'B. Implementation Plan'!P177&lt;1,$C452-'B. Implementation Plan'!P177&gt;0),MOD('B. Implementation Plan'!P177,1)*O447*1*(1-'B. Implementation Plan'!P147)^($C452-1),O447*1*(1-'B. Implementation Plan'!P147)^($C452-1)),0),0)</f>
        <v>0</v>
      </c>
      <c r="P452" s="78" t="str">
        <f>IF(SUM(F452:O452)&gt;0,SUM(F452:O452),"")</f>
        <v/>
      </c>
    </row>
    <row r="453" spans="3:16" s="365" customFormat="1" x14ac:dyDescent="0.3">
      <c r="C453" s="370">
        <v>2</v>
      </c>
      <c r="E453"/>
      <c r="F453"/>
      <c r="G453" s="347">
        <f>IF($C453&lt;=ROUNDUP('B. Implementation Plan'!P177,0),ROUND(IF(AND($C453-'B. Implementation Plan'!P177&lt;1,$C453-'B. Implementation Plan'!P177&gt;0),MOD('B. Implementation Plan'!P177,1)*F447*1*(1-'B. Implementation Plan'!P147)^($C453-1),F447*1*(1-'B. Implementation Plan'!P147)^($C453-1)),0),0)</f>
        <v>0</v>
      </c>
      <c r="H453" s="347">
        <f>IF($C453&lt;=ROUNDUP('B. Implementation Plan'!P177,0),ROUND(IF(AND($C453-'B. Implementation Plan'!P177&lt;1,$C453-'B. Implementation Plan'!P177&gt;0),MOD('B. Implementation Plan'!P177,1)*G447*1*(1-'B. Implementation Plan'!P147)^($C453-1),G447*1*(1-'B. Implementation Plan'!P147)^($C453-1)),0),0)</f>
        <v>0</v>
      </c>
      <c r="I453" s="347">
        <f>IF($C453&lt;=ROUNDUP('B. Implementation Plan'!P177,0),ROUND(IF(AND($C453-'B. Implementation Plan'!P177&lt;1,$C453-'B. Implementation Plan'!P177&gt;0),MOD('B. Implementation Plan'!P177,1)*H447*1*(1-'B. Implementation Plan'!P147)^($C453-1),H447*1*(1-'B. Implementation Plan'!P147)^($C453-1)),0),0)</f>
        <v>0</v>
      </c>
      <c r="J453" s="347">
        <f>IF($C453&lt;=ROUNDUP('B. Implementation Plan'!P177,0),ROUND(IF(AND($C453-'B. Implementation Plan'!P177&lt;1,$C453-'B. Implementation Plan'!P177&gt;0),MOD('B. Implementation Plan'!P177,1)*I447*1*(1-'B. Implementation Plan'!P147)^($C453-1),I447*1*(1-'B. Implementation Plan'!P147)^($C453-1)),0),0)</f>
        <v>0</v>
      </c>
      <c r="K453" s="347">
        <f>IF($C453&lt;=ROUNDUP('B. Implementation Plan'!P177,0),ROUND(IF(AND($C453-'B. Implementation Plan'!P177&lt;1,$C453-'B. Implementation Plan'!P177&gt;0),MOD('B. Implementation Plan'!P177,1)*J447*1*(1-'B. Implementation Plan'!P147)^($C453-1),J447*1*(1-'B. Implementation Plan'!P147)^($C453-1)),0),0)</f>
        <v>0</v>
      </c>
      <c r="L453" s="347">
        <f>IF($C453&lt;=ROUNDUP('B. Implementation Plan'!P177,0),ROUND(IF(AND($C453-'B. Implementation Plan'!P177&lt;1,$C453-'B. Implementation Plan'!P177&gt;0),MOD('B. Implementation Plan'!P177,1)*K447*1*(1-'B. Implementation Plan'!P147)^($C453-1),K447*1*(1-'B. Implementation Plan'!P147)^($C453-1)),0),0)</f>
        <v>0</v>
      </c>
      <c r="M453" s="347">
        <f>IF($C453&lt;=ROUNDUP('B. Implementation Plan'!P177,0),ROUND(IF(AND($C453-'B. Implementation Plan'!P177&lt;1,$C453-'B. Implementation Plan'!P177&gt;0),MOD('B. Implementation Plan'!P177,1)*L447*1*(1-'B. Implementation Plan'!P147)^($C453-1),L447*1*(1-'B. Implementation Plan'!P147)^($C453-1)),0),0)</f>
        <v>0</v>
      </c>
      <c r="N453" s="347">
        <f>IF($C453&lt;=ROUNDUP('B. Implementation Plan'!P177,0),ROUND(IF(AND($C453-'B. Implementation Plan'!P177&lt;1,$C453-'B. Implementation Plan'!P177&gt;0),MOD('B. Implementation Plan'!P177,1)*M447*1*(1-'B. Implementation Plan'!P147)^($C453-1),M447*1*(1-'B. Implementation Plan'!P147)^($C453-1)),0),0)</f>
        <v>0</v>
      </c>
      <c r="O453" s="347">
        <f>IF($C453&lt;=ROUNDUP('B. Implementation Plan'!P177,0),ROUND(IF(AND($C453-'B. Implementation Plan'!P177&lt;1,$C453-'B. Implementation Plan'!P177&gt;0),MOD('B. Implementation Plan'!P177,1)*N447*1*(1-'B. Implementation Plan'!P147)^($C453-1),N447*1*(1-'B. Implementation Plan'!P147)^($C453-1)),0),0)</f>
        <v>0</v>
      </c>
      <c r="P453" s="78" t="str">
        <f t="shared" ref="P453:P461" si="345">IF(SUM(F453:O453)&gt;0,SUM(F453:O453),"")</f>
        <v/>
      </c>
    </row>
    <row r="454" spans="3:16" s="365" customFormat="1" x14ac:dyDescent="0.3">
      <c r="C454" s="370">
        <v>3</v>
      </c>
      <c r="E454"/>
      <c r="F454"/>
      <c r="G454"/>
      <c r="H454" s="347">
        <f>IF($C454&lt;=ROUNDUP('B. Implementation Plan'!P177,0),ROUND(IF(AND($C454-'B. Implementation Plan'!P177&lt;1,$C454-'B. Implementation Plan'!P177&gt;0),MOD('B. Implementation Plan'!P177,1)*F447*1*(1-'B. Implementation Plan'!P147)^($C454-1),F447*1*(1-'B. Implementation Plan'!P147)^($C454-1)),0),0)</f>
        <v>0</v>
      </c>
      <c r="I454" s="347">
        <f>IF($C454&lt;=ROUNDUP('B. Implementation Plan'!P177,0),ROUND(IF(AND($C454-'B. Implementation Plan'!P177&lt;1,$C454-'B. Implementation Plan'!P177&gt;0),MOD('B. Implementation Plan'!P177,1)*G447*1*(1-'B. Implementation Plan'!P147)^($C454-1),G447*1*(1-'B. Implementation Plan'!P147)^($C454-1)),0),0)</f>
        <v>0</v>
      </c>
      <c r="J454" s="347">
        <f>IF($C454&lt;=ROUNDUP('B. Implementation Plan'!P177,0),ROUND(IF(AND($C454-'B. Implementation Plan'!P177&lt;1,$C454-'B. Implementation Plan'!P177&gt;0),MOD('B. Implementation Plan'!P177,1)*H447*1*(1-'B. Implementation Plan'!P147)^($C454-1),H447*1*(1-'B. Implementation Plan'!P147)^($C454-1)),0),0)</f>
        <v>0</v>
      </c>
      <c r="K454" s="347">
        <f>IF($C454&lt;=ROUNDUP('B. Implementation Plan'!P177,0),ROUND(IF(AND($C454-'B. Implementation Plan'!P177&lt;1,$C454-'B. Implementation Plan'!P177&gt;0),MOD('B. Implementation Plan'!P177,1)*I447*1*(1-'B. Implementation Plan'!P147)^($C454-1),I447*1*(1-'B. Implementation Plan'!P147)^($C454-1)),0),0)</f>
        <v>0</v>
      </c>
      <c r="L454" s="347">
        <f>IF($C454&lt;=ROUNDUP('B. Implementation Plan'!P177,0),ROUND(IF(AND($C454-'B. Implementation Plan'!P177&lt;1,$C454-'B. Implementation Plan'!P177&gt;0),MOD('B. Implementation Plan'!P177,1)*J447*1*(1-'B. Implementation Plan'!P147)^($C454-1),J447*1*(1-'B. Implementation Plan'!P147)^($C454-1)),0),0)</f>
        <v>0</v>
      </c>
      <c r="M454" s="347">
        <f>IF($C454&lt;=ROUNDUP('B. Implementation Plan'!P177,0),ROUND(IF(AND($C454-'B. Implementation Plan'!P177&lt;1,$C454-'B. Implementation Plan'!P177&gt;0),MOD('B. Implementation Plan'!P177,1)*K447*1*(1-'B. Implementation Plan'!P147)^($C454-1),K447*1*(1-'B. Implementation Plan'!P147)^($C454-1)),0),0)</f>
        <v>0</v>
      </c>
      <c r="N454" s="347">
        <f>IF($C454&lt;=ROUNDUP('B. Implementation Plan'!P177,0),ROUND(IF(AND($C454-'B. Implementation Plan'!P177&lt;1,$C454-'B. Implementation Plan'!P177&gt;0),MOD('B. Implementation Plan'!P177,1)*L447*1*(1-'B. Implementation Plan'!P147)^($C454-1),L447*1*(1-'B. Implementation Plan'!P147)^($C454-1)),0),0)</f>
        <v>0</v>
      </c>
      <c r="O454" s="347">
        <f>IF($C454&lt;=ROUNDUP('B. Implementation Plan'!P177,0),ROUND(IF(AND($C454-'B. Implementation Plan'!P177&lt;1,$C454-'B. Implementation Plan'!P177&gt;0),MOD('B. Implementation Plan'!P177,1)*M447*1*(1-'B. Implementation Plan'!P147)^($C454-1),M447*1*(1-'B. Implementation Plan'!P147)^($C454-1)),0),0)</f>
        <v>0</v>
      </c>
      <c r="P454" s="78" t="str">
        <f t="shared" si="345"/>
        <v/>
      </c>
    </row>
    <row r="455" spans="3:16" s="365" customFormat="1" x14ac:dyDescent="0.3">
      <c r="C455" s="370">
        <v>4</v>
      </c>
      <c r="E455"/>
      <c r="F455"/>
      <c r="G455"/>
      <c r="H455"/>
      <c r="I455" s="347">
        <f>IF($C455&lt;=ROUNDUP('B. Implementation Plan'!P177,0),ROUND(IF(AND($C455-'B. Implementation Plan'!P177&lt;1,$C455-'B. Implementation Plan'!P177&gt;0),MOD('B. Implementation Plan'!P177,1)*F447*1*(1-'B. Implementation Plan'!P147)^($C455-1),F447*1*(1-'B. Implementation Plan'!P147)^($C455-1)),0),0)</f>
        <v>0</v>
      </c>
      <c r="J455" s="347">
        <f>IF($C455&lt;=ROUNDUP('B. Implementation Plan'!P177,0),ROUND(IF(AND($C455-'B. Implementation Plan'!P177&lt;1,$C455-'B. Implementation Plan'!P177&gt;0),MOD('B. Implementation Plan'!P177,1)*G447*1*(1-'B. Implementation Plan'!P147)^($C455-1),G447*1*(1-'B. Implementation Plan'!P147)^($C455-1)),0),0)</f>
        <v>0</v>
      </c>
      <c r="K455" s="347">
        <f>IF($C455&lt;=ROUNDUP('B. Implementation Plan'!P177,0),ROUND(IF(AND($C455-'B. Implementation Plan'!P177&lt;1,$C455-'B. Implementation Plan'!P177&gt;0),MOD('B. Implementation Plan'!P177,1)*H447*1*(1-'B. Implementation Plan'!P147)^($C455-1),H447*1*(1-'B. Implementation Plan'!P147)^($C455-1)),0),0)</f>
        <v>0</v>
      </c>
      <c r="L455" s="347">
        <f>IF($C455&lt;=ROUNDUP('B. Implementation Plan'!P177,0),ROUND(IF(AND($C455-'B. Implementation Plan'!P177&lt;1,$C455-'B. Implementation Plan'!P177&gt;0),MOD('B. Implementation Plan'!P177,1)*I447*1*(1-'B. Implementation Plan'!P147)^($C455-1),I447*1*(1-'B. Implementation Plan'!P147)^($C455-1)),0),0)</f>
        <v>0</v>
      </c>
      <c r="M455" s="347">
        <f>IF($C455&lt;=ROUNDUP('B. Implementation Plan'!P177,0),ROUND(IF(AND($C455-'B. Implementation Plan'!P177&lt;1,$C455-'B. Implementation Plan'!P177&gt;0),MOD('B. Implementation Plan'!P177,1)*J447*1*(1-'B. Implementation Plan'!P147)^($C455-1),J447*1*(1-'B. Implementation Plan'!P147)^($C455-1)),0),0)</f>
        <v>0</v>
      </c>
      <c r="N455" s="347">
        <f>IF($C455&lt;=ROUNDUP('B. Implementation Plan'!P177,0),ROUND(IF(AND($C455-'B. Implementation Plan'!P177&lt;1,$C455-'B. Implementation Plan'!P177&gt;0),MOD('B. Implementation Plan'!P177,1)*K447*1*(1-'B. Implementation Plan'!P147)^($C455-1),K447*1*(1-'B. Implementation Plan'!P147)^($C455-1)),0),0)</f>
        <v>0</v>
      </c>
      <c r="O455" s="347">
        <f>IF($C455&lt;=ROUNDUP('B. Implementation Plan'!P177,0),ROUND(IF(AND($C455-'B. Implementation Plan'!P177&lt;1,$C455-'B. Implementation Plan'!P177&gt;0),MOD('B. Implementation Plan'!P177,1)*L447*1*(1-'B. Implementation Plan'!P147)^($C455-1),L447*1*(1-'B. Implementation Plan'!P147)^($C455-1)),0),0)</f>
        <v>0</v>
      </c>
      <c r="P455" s="78" t="str">
        <f t="shared" si="345"/>
        <v/>
      </c>
    </row>
    <row r="456" spans="3:16" s="365" customFormat="1" x14ac:dyDescent="0.3">
      <c r="C456" s="370">
        <v>5</v>
      </c>
      <c r="E456"/>
      <c r="F456"/>
      <c r="G456"/>
      <c r="H456"/>
      <c r="I456"/>
      <c r="J456" s="347">
        <f>IF($C456&lt;=ROUNDUP('B. Implementation Plan'!P177,0),ROUND(IF(AND($C456-'B. Implementation Plan'!P177&lt;1,$C456-'B. Implementation Plan'!P177&gt;0),MOD('B. Implementation Plan'!P177,1)*F447*1*(1-'B. Implementation Plan'!P147)^($C456-1),F447*1*(1-'B. Implementation Plan'!P147)^($C456-1)),0),0)</f>
        <v>0</v>
      </c>
      <c r="K456" s="347">
        <f>IF($C456&lt;=ROUNDUP('B. Implementation Plan'!P177,0),ROUND(IF(AND($C456-'B. Implementation Plan'!P177&lt;1,$C456-'B. Implementation Plan'!P177&gt;0),MOD('B. Implementation Plan'!P177,1)*G447*1*(1-'B. Implementation Plan'!P147)^($C456-1),G447*1*(1-'B. Implementation Plan'!P147)^($C456-1)),0),0)</f>
        <v>0</v>
      </c>
      <c r="L456" s="347">
        <f>IF($C456&lt;=ROUNDUP('B. Implementation Plan'!P177,0),ROUND(IF(AND($C456-'B. Implementation Plan'!P177&lt;1,$C456-'B. Implementation Plan'!P177&gt;0),MOD('B. Implementation Plan'!P177,1)*H447*1*(1-'B. Implementation Plan'!P147)^($C456-1),H447*1*(1-'B. Implementation Plan'!P147)^($C456-1)),0),0)</f>
        <v>0</v>
      </c>
      <c r="M456" s="347">
        <f>IF($C456&lt;=ROUNDUP('B. Implementation Plan'!P177,0),ROUND(IF(AND($C456-'B. Implementation Plan'!P177&lt;1,$C456-'B. Implementation Plan'!P177&gt;0),MOD('B. Implementation Plan'!P177,1)*I447*1*(1-'B. Implementation Plan'!P147)^($C456-1),I447*1*(1-'B. Implementation Plan'!P147)^($C456-1)),0),0)</f>
        <v>0</v>
      </c>
      <c r="N456" s="347">
        <f>IF($C456&lt;=ROUNDUP('B. Implementation Plan'!P177,0),ROUND(IF(AND($C456-'B. Implementation Plan'!P177&lt;1,$C456-'B. Implementation Plan'!P177&gt;0),MOD('B. Implementation Plan'!P177,1)*J447*1*(1-'B. Implementation Plan'!P147)^($C456-1),J447*1*(1-'B. Implementation Plan'!P147)^($C456-1)),0),0)</f>
        <v>0</v>
      </c>
      <c r="O456" s="347">
        <f>IF($C456&lt;=ROUNDUP('B. Implementation Plan'!P177,0),ROUND(IF(AND($C456-'B. Implementation Plan'!P177&lt;1,$C456-'B. Implementation Plan'!P177&gt;0),MOD('B. Implementation Plan'!P177,1)*K447*1*(1-'B. Implementation Plan'!P147)^($C456-1),K447*1*(1-'B. Implementation Plan'!P147)^($C456-1)),0),0)</f>
        <v>0</v>
      </c>
      <c r="P456" s="78" t="str">
        <f t="shared" si="345"/>
        <v/>
      </c>
    </row>
    <row r="457" spans="3:16" s="365" customFormat="1" x14ac:dyDescent="0.3">
      <c r="C457" s="370">
        <v>6</v>
      </c>
      <c r="E457"/>
      <c r="F457"/>
      <c r="G457"/>
      <c r="H457"/>
      <c r="I457"/>
      <c r="J457"/>
      <c r="K457" s="347">
        <f>IF($C457&lt;=ROUNDUP('B. Implementation Plan'!P177,0),ROUND(IF(AND($C457-'B. Implementation Plan'!P177&lt;1,$C457-'B. Implementation Plan'!P177&gt;0),MOD('B. Implementation Plan'!P177,1)*F447*1*(1-'B. Implementation Plan'!P147)^($C457-1),F447*1*(1-'B. Implementation Plan'!P147)^($C457-1)),0),0)</f>
        <v>0</v>
      </c>
      <c r="L457" s="347">
        <f>IF($C457&lt;=ROUNDUP('B. Implementation Plan'!P177,0),ROUND(IF(AND($C457-'B. Implementation Plan'!P177&lt;1,$C457-'B. Implementation Plan'!P177&gt;0),MOD('B. Implementation Plan'!P177,1)*G447*1*(1-'B. Implementation Plan'!P147)^($C457-1),G447*1*(1-'B. Implementation Plan'!P147)^($C457-1)),0),0)</f>
        <v>0</v>
      </c>
      <c r="M457" s="347">
        <f>IF($C457&lt;=ROUNDUP('B. Implementation Plan'!P177,0),ROUND(IF(AND($C457-'B. Implementation Plan'!P177&lt;1,$C457-'B. Implementation Plan'!P177&gt;0),MOD('B. Implementation Plan'!P177,1)*H447*1*(1-'B. Implementation Plan'!P147)^($C457-1),H447*1*(1-'B. Implementation Plan'!P147)^($C457-1)),0),0)</f>
        <v>0</v>
      </c>
      <c r="N457" s="347">
        <f>IF($C457&lt;=ROUNDUP('B. Implementation Plan'!P177,0),ROUND(IF(AND($C457-'B. Implementation Plan'!P177&lt;1,$C457-'B. Implementation Plan'!P177&gt;0),MOD('B. Implementation Plan'!P177,1)*I447*1*(1-'B. Implementation Plan'!P147)^($C457-1),I447*1*(1-'B. Implementation Plan'!P147)^($C457-1)),0),0)</f>
        <v>0</v>
      </c>
      <c r="O457" s="347">
        <f>IF($C457&lt;=ROUNDUP('B. Implementation Plan'!P177,0),ROUND(IF(AND($C457-'B. Implementation Plan'!P177&lt;1,$C457-'B. Implementation Plan'!P177&gt;0),MOD('B. Implementation Plan'!P177,1)*J447*1*(1-'B. Implementation Plan'!P147)^($C457-1),J447*1*(1-'B. Implementation Plan'!P147)^($C457-1)),0),0)</f>
        <v>0</v>
      </c>
      <c r="P457" s="78" t="str">
        <f t="shared" si="345"/>
        <v/>
      </c>
    </row>
    <row r="458" spans="3:16" s="365" customFormat="1" x14ac:dyDescent="0.3">
      <c r="C458" s="370">
        <v>7</v>
      </c>
      <c r="E458"/>
      <c r="F458"/>
      <c r="G458"/>
      <c r="H458"/>
      <c r="I458"/>
      <c r="J458"/>
      <c r="K458"/>
      <c r="L458" s="347">
        <f>IF($C458&lt;=ROUNDUP('B. Implementation Plan'!P177,0),ROUND(IF(AND($C458-'B. Implementation Plan'!P177&lt;1,$C458-'B. Implementation Plan'!P177&gt;0),MOD('B. Implementation Plan'!P177,1)*F447*1*(1-'B. Implementation Plan'!P147)^($C458-1),F447*1*(1-'B. Implementation Plan'!P147)^($C458-1)),0),0)</f>
        <v>0</v>
      </c>
      <c r="M458" s="347">
        <f>IF($C458&lt;=ROUNDUP('B. Implementation Plan'!P177,0),ROUND(IF(AND($C458-'B. Implementation Plan'!P177&lt;1,$C458-'B. Implementation Plan'!P177&gt;0),MOD('B. Implementation Plan'!P177,1)*G447*1*(1-'B. Implementation Plan'!P147)^($C458-1),G447*1*(1-'B. Implementation Plan'!P147)^($C458-1)),0),0)</f>
        <v>0</v>
      </c>
      <c r="N458" s="347">
        <f>IF($C458&lt;=ROUNDUP('B. Implementation Plan'!P177,0),ROUND(IF(AND($C458-'B. Implementation Plan'!P177&lt;1,$C458-'B. Implementation Plan'!P177&gt;0),MOD('B. Implementation Plan'!P177,1)*H447*1*(1-'B. Implementation Plan'!P147)^($C458-1),H447*1*(1-'B. Implementation Plan'!P147)^($C458-1)),0),0)</f>
        <v>0</v>
      </c>
      <c r="O458" s="347">
        <f>IF($C458&lt;=ROUNDUP('B. Implementation Plan'!P177,0),ROUND(IF(AND($C458-'B. Implementation Plan'!P177&lt;1,$C458-'B. Implementation Plan'!P177&gt;0),MOD('B. Implementation Plan'!P177,1)*I447*1*(1-'B. Implementation Plan'!P147)^($C458-1),I447*1*(1-'B. Implementation Plan'!P147)^($C458-1)),0),0)</f>
        <v>0</v>
      </c>
      <c r="P458" s="78" t="str">
        <f t="shared" si="345"/>
        <v/>
      </c>
    </row>
    <row r="459" spans="3:16" s="365" customFormat="1" x14ac:dyDescent="0.3">
      <c r="C459" s="370">
        <v>8</v>
      </c>
      <c r="E459"/>
      <c r="F459"/>
      <c r="G459"/>
      <c r="H459"/>
      <c r="I459"/>
      <c r="J459"/>
      <c r="K459"/>
      <c r="L459"/>
      <c r="M459" s="347">
        <f>IF($C459&lt;=ROUNDUP('B. Implementation Plan'!P177,0),ROUND(IF(AND($C459-'B. Implementation Plan'!P177&lt;1,$C459-'B. Implementation Plan'!P177&gt;0),MOD('B. Implementation Plan'!P177,1)*F447*1*(1-'B. Implementation Plan'!P147)^($C459-1),F447*1*(1-'B. Implementation Plan'!P147)^($C459-1)),0),0)</f>
        <v>0</v>
      </c>
      <c r="N459" s="347">
        <f>IF($C459&lt;=ROUNDUP('B. Implementation Plan'!P177,0),ROUND(IF(AND($C459-'B. Implementation Plan'!P177&lt;1,$C459-'B. Implementation Plan'!P177&gt;0),MOD('B. Implementation Plan'!P177,1)*G447*1*(1-'B. Implementation Plan'!P147)^($C459-1),G447*1*(1-'B. Implementation Plan'!P147)^($C459-1)),0),0)</f>
        <v>0</v>
      </c>
      <c r="O459" s="347">
        <f>IF($C459&lt;=ROUNDUP('B. Implementation Plan'!P177,0),ROUND(IF(AND($C459-'B. Implementation Plan'!P177&lt;1,$C459-'B. Implementation Plan'!P177&gt;0),MOD('B. Implementation Plan'!P177,1)*H447*1*(1-'B. Implementation Plan'!P147)^($C459-1),H447*1*(1-'B. Implementation Plan'!P147)^($C459-1)),0),0)</f>
        <v>0</v>
      </c>
      <c r="P459" s="78" t="str">
        <f t="shared" si="345"/>
        <v/>
      </c>
    </row>
    <row r="460" spans="3:16" s="365" customFormat="1" x14ac:dyDescent="0.3">
      <c r="C460" s="370">
        <v>9</v>
      </c>
      <c r="E460"/>
      <c r="F460"/>
      <c r="G460"/>
      <c r="H460"/>
      <c r="I460"/>
      <c r="J460"/>
      <c r="K460"/>
      <c r="L460"/>
      <c r="M460"/>
      <c r="N460" s="347">
        <f>IF($C460&lt;=ROUNDUP('B. Implementation Plan'!P177,0),ROUND(IF(AND($C460-'B. Implementation Plan'!P177&lt;1,$C460-'B. Implementation Plan'!P177&gt;0),MOD('B. Implementation Plan'!P177,1)*F447*1*(1-'B. Implementation Plan'!P147)^($C460-1),F447*1*(1-'B. Implementation Plan'!P147)^($C460-1)),0),0)</f>
        <v>0</v>
      </c>
      <c r="O460" s="347">
        <f>IF($C460&lt;=ROUNDUP('B. Implementation Plan'!P177,0),ROUND(IF(AND($C460-'B. Implementation Plan'!P177&lt;1,$C460-'B. Implementation Plan'!P177&gt;0),MOD('B. Implementation Plan'!P177,1)*G447*1*(1-'B. Implementation Plan'!P147)^($C460-1),G447*1*(1-'B. Implementation Plan'!P147)^($C460-1)),0),0)</f>
        <v>0</v>
      </c>
      <c r="P460" s="78" t="str">
        <f t="shared" si="345"/>
        <v/>
      </c>
    </row>
    <row r="461" spans="3:16" s="365" customFormat="1" x14ac:dyDescent="0.3">
      <c r="C461" s="370">
        <v>10</v>
      </c>
      <c r="E461"/>
      <c r="F461"/>
      <c r="G461"/>
      <c r="H461"/>
      <c r="I461"/>
      <c r="J461"/>
      <c r="K461"/>
      <c r="L461"/>
      <c r="M461"/>
      <c r="N461" s="19"/>
      <c r="O461" s="347">
        <f>IF($C461&lt;=ROUNDUP('B. Implementation Plan'!P177,0),ROUND(IF(AND($C461-'B. Implementation Plan'!P177&lt;1,$C461-'B. Implementation Plan'!P177&gt;0),MOD('B. Implementation Plan'!P177,1)*F447*1*(1-'B. Implementation Plan'!P147)^($C461-1),F447*1*(1-'B. Implementation Plan'!P147)^($C461-1)),0),0)</f>
        <v>0</v>
      </c>
      <c r="P461" s="78" t="str">
        <f t="shared" si="345"/>
        <v/>
      </c>
    </row>
    <row r="462" spans="3:16" s="1" customFormat="1" x14ac:dyDescent="0.3">
      <c r="C462" s="376" t="s">
        <v>488</v>
      </c>
      <c r="E462"/>
      <c r="F462" s="371">
        <f t="shared" ref="F462:O462" ca="1" si="346">IF(F444&gt;0,SUM(F452:F461),0)</f>
        <v>0</v>
      </c>
      <c r="G462" s="371">
        <f t="shared" ca="1" si="346"/>
        <v>0</v>
      </c>
      <c r="H462" s="371">
        <f t="shared" ca="1" si="346"/>
        <v>0</v>
      </c>
      <c r="I462" s="371">
        <f t="shared" ca="1" si="346"/>
        <v>0</v>
      </c>
      <c r="J462" s="371">
        <f t="shared" ca="1" si="346"/>
        <v>0</v>
      </c>
      <c r="K462" s="371">
        <f t="shared" ca="1" si="346"/>
        <v>0</v>
      </c>
      <c r="L462" s="371">
        <f t="shared" ca="1" si="346"/>
        <v>0</v>
      </c>
      <c r="M462" s="371">
        <f t="shared" ca="1" si="346"/>
        <v>0</v>
      </c>
      <c r="N462" s="371">
        <f t="shared" ca="1" si="346"/>
        <v>0</v>
      </c>
      <c r="O462" s="371">
        <f t="shared" ca="1" si="346"/>
        <v>0</v>
      </c>
      <c r="P462" s="325">
        <f ca="1">SUM(E462:O462)</f>
        <v>0</v>
      </c>
    </row>
    <row r="463" spans="3:16" s="1" customFormat="1" x14ac:dyDescent="0.3">
      <c r="C463" s="353" t="s">
        <v>491</v>
      </c>
      <c r="E463"/>
      <c r="F463" s="324">
        <f ca="1">MIN(IFERROR(ROUNDUP(IF(F444&gt;0,INDEX(F452:F461,MATCH(9.99999999999999E+307,P452:P461))/IF(MOD('B. Implementation Plan'!P177,1)=0,1,MOD('B. Implementation Plan'!P177,1)),0),0),0),MAX(E452:E461))</f>
        <v>0</v>
      </c>
      <c r="G463" s="324">
        <f ca="1">MIN(IFERROR(ROUNDUP(IF(G444&gt;0,INDEX(G452:G461,MATCH(9.99999999999999E+307,P452:P461))/IF(MOD('B. Implementation Plan'!P177,1)=0,1,MOD('B. Implementation Plan'!P177,1)),0),0),0),MAX(E452:F461))</f>
        <v>0</v>
      </c>
      <c r="H463" s="324">
        <f ca="1">MIN(IFERROR(ROUNDUP(IF(H444&gt;0,INDEX(H452:H461,MATCH(9.99999999999999E+307,P452:P461))/IF(MOD('B. Implementation Plan'!P177,1)=0,1,MOD('B. Implementation Plan'!P177,1)),0),0),0),MAX(E452:G461))</f>
        <v>0</v>
      </c>
      <c r="I463" s="324">
        <f ca="1">MIN(IFERROR(ROUNDUP(IF(I444&gt;0,INDEX(I452:I461,MATCH(9.99999999999999E+307,P452:P461))/IF(MOD('B. Implementation Plan'!P177,1)=0,1,MOD('B. Implementation Plan'!P177,1)),0),0),0),MAX(E452:H461))</f>
        <v>0</v>
      </c>
      <c r="J463" s="324">
        <f ca="1">MIN(IFERROR(ROUNDUP(IF(J444&gt;0,INDEX(J452:J461,MATCH(9.99999999999999E+307,P452:P461))/IF(MOD('B. Implementation Plan'!P177,1)=0,1,MOD('B. Implementation Plan'!P177,1)),0),0),0),MAX(E452:I461))</f>
        <v>0</v>
      </c>
      <c r="K463" s="324">
        <f ca="1">MIN(IFERROR(ROUNDUP(IF(K444&gt;0,INDEX(K452:K461,MATCH(9.99999999999999E+307,P452:P461))/IF(MOD('B. Implementation Plan'!P177,1)=0,1,MOD('B. Implementation Plan'!P177,1)),0),0),0),MAX(E452:J461))</f>
        <v>0</v>
      </c>
      <c r="L463" s="324">
        <f ca="1">MIN(IFERROR(ROUNDUP(IF(L444&gt;0,INDEX(L452:L461,MATCH(9.99999999999999E+307,P452:P461))/IF(MOD('B. Implementation Plan'!P177,1)=0,1,MOD('B. Implementation Plan'!P177,1)),0),0),0),MAX(E452:K461))</f>
        <v>0</v>
      </c>
      <c r="M463" s="324">
        <f ca="1">MIN(IFERROR(ROUNDUP(IF(M444&gt;0,INDEX(M452:M461,MATCH(9.99999999999999E+307,P452:P461))/IF(MOD('B. Implementation Plan'!P177,1)=0,1,MOD('B. Implementation Plan'!P177,1)),0),0),0),MAX(E452:L461))</f>
        <v>0</v>
      </c>
      <c r="N463" s="324">
        <f ca="1">MIN(IFERROR(ROUNDUP(IF(N444&gt;0,INDEX(N452:N461,MATCH(9.99999999999999E+307,P452:P461))/IF(MOD('B. Implementation Plan'!P177,1)=0,1,MOD('B. Implementation Plan'!P177,1)),0),0),0),MAX(E452:M461))</f>
        <v>0</v>
      </c>
      <c r="O463" s="324">
        <f ca="1">MIN(IFERROR(ROUNDUP(IF(O444&gt;0,INDEX(O452:O461,MATCH(9.99999999999999E+307,P452:P461))/IF(MOD('B. Implementation Plan'!P177,1)=0,1,MOD('B. Implementation Plan'!P177,1)),0),0),0),MAX(E452:N461))</f>
        <v>0</v>
      </c>
      <c r="P463" s="325">
        <f ca="1">SUM(E463:O463)</f>
        <v>0</v>
      </c>
    </row>
    <row r="464" spans="3:16" s="365" customFormat="1" x14ac:dyDescent="0.3">
      <c r="C464" s="326" t="s">
        <v>492</v>
      </c>
      <c r="E464"/>
      <c r="F464" s="347">
        <f ca="1">ROUNDUP(IF(F444&gt;0,IF(SUM(E463:F463,E464:E464)*'B. Implementation Plan'!P147&gt;P463,0,-ROUND(SUM(E463:F463,E464:E464)*'B. Implementation Plan'!P147,0)),0),0)</f>
        <v>0</v>
      </c>
      <c r="G464" s="347">
        <f ca="1">ROUNDUP(IF(G444&gt;0,IF(SUM(E463:G463,E464:F464)*'B. Implementation Plan'!P147&gt;P463,0,-ROUND(SUM(E463:G463,E464:F464)*'B. Implementation Plan'!P147,0)),0),0)</f>
        <v>0</v>
      </c>
      <c r="H464" s="347">
        <f ca="1">ROUNDUP(IF(H444&gt;0,IF(SUM(E463:H463,E464:G464)*'B. Implementation Plan'!P147&gt;P463,0,-ROUND(SUM(E463:H463,E464:G464)*'B. Implementation Plan'!P147,0)),0),0)</f>
        <v>0</v>
      </c>
      <c r="I464" s="347">
        <f ca="1">ROUNDUP(IF(I444&gt;0,IF(SUM(E463:I463,E464:H464)*'B. Implementation Plan'!P147&gt;P463,0,-ROUND(SUM(E463:I463,E464:H464)*'B. Implementation Plan'!P147,0)),0),0)</f>
        <v>0</v>
      </c>
      <c r="J464" s="347">
        <f ca="1">ROUNDUP(IF(J444&gt;0,IF(SUM(E463:J463,E464:I464)*'B. Implementation Plan'!P147&gt;P463,0,-ROUND(SUM(E463:J463,E464:I464)*'B. Implementation Plan'!P147,0)),0),0)</f>
        <v>0</v>
      </c>
      <c r="K464" s="347">
        <f ca="1">ROUNDUP(IF(K444&gt;0,IF(SUM(E463:K463,E464:J464)*'B. Implementation Plan'!P147&gt;P463,0,-ROUND(SUM(E463:K463,E464:J464)*'B. Implementation Plan'!P147,0)),0),0)</f>
        <v>0</v>
      </c>
      <c r="L464" s="347">
        <f ca="1">ROUNDUP(IF(L444&gt;0,IF(SUM(E463:L463,E464:K464)*'B. Implementation Plan'!P147&gt;P463,0,-ROUND(SUM(E463:L463,E464:K464)*'B. Implementation Plan'!P147,0)),0),0)</f>
        <v>0</v>
      </c>
      <c r="M464" s="347">
        <f ca="1">ROUNDUP(IF(M444&gt;0,IF(SUM(E463:M463,E464:L464)*'B. Implementation Plan'!P147&gt;P463,0,-ROUND(SUM(E463:M463,E464:L464)*'B. Implementation Plan'!P147,0)),0),0)</f>
        <v>0</v>
      </c>
      <c r="N464" s="347">
        <f ca="1">ROUNDUP(IF(N444&gt;0,IF(SUM(E463:N463,E464:M464)*'B. Implementation Plan'!P147&gt;P463,0,-ROUND(SUM(E463:N463,E464:M464)*'B. Implementation Plan'!P147,0)),0),0)</f>
        <v>0</v>
      </c>
      <c r="O464" s="347">
        <f ca="1">ROUNDUP(IF(O444&gt;0,IF(SUM(E463:O463,E464:N464)*'B. Implementation Plan'!P147&gt;P463,0,-ROUND(SUM(E463:O463,E464:N464)*'B. Implementation Plan'!P147,0)),0),0)</f>
        <v>0</v>
      </c>
      <c r="P464" s="354">
        <f ca="1">SUM(E464:O464)</f>
        <v>0</v>
      </c>
    </row>
    <row r="465" spans="3:16" s="365" customFormat="1" ht="15" thickBot="1" x14ac:dyDescent="0.35">
      <c r="C465" s="326" t="s">
        <v>493</v>
      </c>
      <c r="E465"/>
      <c r="F465" s="347">
        <f ca="1">IF(F444&gt;0,SUM(E463:F464),0)</f>
        <v>0</v>
      </c>
      <c r="G465" s="347">
        <f ca="1">IF(G444&gt;0,SUM(E463:G464),0)</f>
        <v>0</v>
      </c>
      <c r="H465" s="347">
        <f ca="1">IF(H444&gt;0,SUM(E463:H464),0)</f>
        <v>0</v>
      </c>
      <c r="I465" s="347">
        <f ca="1">IF(I444&gt;0,SUM(E463:I464),0)</f>
        <v>0</v>
      </c>
      <c r="J465" s="347">
        <f ca="1">IF(J444&gt;0,SUM(E463:J464),0)</f>
        <v>0</v>
      </c>
      <c r="K465" s="347">
        <f ca="1">IF(K444&gt;0,SUM(E463:K464),0)</f>
        <v>0</v>
      </c>
      <c r="L465" s="347">
        <f ca="1">IF(L444&gt;0,SUM(E463:L464),0)</f>
        <v>0</v>
      </c>
      <c r="M465" s="347">
        <f ca="1">IF(M444&gt;0,SUM(E463:M464),0)</f>
        <v>0</v>
      </c>
      <c r="N465" s="347">
        <f ca="1">IF(N444&gt;0,SUM(E463:N464),0)</f>
        <v>0</v>
      </c>
      <c r="O465" s="369">
        <f ca="1">IF(O444&gt;0,SUM(E463:O464),0)</f>
        <v>0</v>
      </c>
      <c r="P465" s="375">
        <f t="shared" ref="P465" ca="1" si="347">IF(O465=0,IF(N465=0,IF(M465=0,IF(L465=0,IF(K465=0,IF(J465=0,IF(I465=0,IF(H465=0,IF(G465=0,IF(F465=0,E465,F465),G465),H465),I465),J465),K465),L465),M465),N465),O465)</f>
        <v>0</v>
      </c>
    </row>
    <row r="466" spans="3:16" ht="15" thickBot="1" x14ac:dyDescent="0.35">
      <c r="C466" s="59" t="s">
        <v>519</v>
      </c>
    </row>
    <row r="467" spans="3:16" ht="15.6" x14ac:dyDescent="0.3">
      <c r="C467" s="326" t="s">
        <v>473</v>
      </c>
      <c r="F467" s="149">
        <v>1</v>
      </c>
      <c r="G467" s="149">
        <v>2</v>
      </c>
      <c r="H467" s="149">
        <v>3</v>
      </c>
      <c r="I467" s="149">
        <v>4</v>
      </c>
      <c r="J467" s="149">
        <v>5</v>
      </c>
      <c r="K467" s="149">
        <v>6</v>
      </c>
      <c r="L467" s="149">
        <v>7</v>
      </c>
      <c r="M467" s="149">
        <v>8</v>
      </c>
      <c r="N467" s="149">
        <v>9</v>
      </c>
      <c r="O467" s="374">
        <v>10</v>
      </c>
      <c r="P467" s="351" t="s">
        <v>2</v>
      </c>
    </row>
    <row r="468" spans="3:16" s="365" customFormat="1" x14ac:dyDescent="0.3">
      <c r="C468" s="370">
        <v>1</v>
      </c>
      <c r="E468"/>
      <c r="F468" s="347">
        <f>IF($C468&lt;=ROUNDUP('B. Implementation Plan'!P177,0),ROUND(IF(AND($C468-'B. Implementation Plan'!P177&lt;1,$C468-'B. Implementation Plan'!P177&gt;0),MOD('B. Implementation Plan'!P177,1)*(E449+F449)*(1-'B. Implementation Plan'!P175)*'B. Implementation Plan'!P176*(1-'B. Implementation Plan'!P147)^($C468-1),(E449+F449)*(1-'B. Implementation Plan'!P175)*'B. Implementation Plan'!P176*(1-'B. Implementation Plan'!P147)^($C468-1)),0),0)</f>
        <v>0</v>
      </c>
      <c r="G468" s="347">
        <f>IF($C468&lt;=ROUNDUP('B. Implementation Plan'!P177,0),ROUND(IF(AND($C468-'B. Implementation Plan'!P177&lt;1,$C468-'B. Implementation Plan'!P177&gt;0),MOD('B. Implementation Plan'!P177,1)*G449*(1-'B. Implementation Plan'!P175)*'B. Implementation Plan'!P176*(1-'B. Implementation Plan'!P147)^($C468-1),G449*(1-'B. Implementation Plan'!P175)*'B. Implementation Plan'!P176*(1-'B. Implementation Plan'!P147)^($C468-1)),0),0)</f>
        <v>0</v>
      </c>
      <c r="H468" s="347">
        <f>IF($C468&lt;=ROUNDUP('B. Implementation Plan'!P177,0),ROUND(IF(AND($C468-'B. Implementation Plan'!P177&lt;1,$C468-'B. Implementation Plan'!P177&gt;0),MOD('B. Implementation Plan'!P177,1)*H449*(1-'B. Implementation Plan'!P175)*'B. Implementation Plan'!P176*(1-'B. Implementation Plan'!P147)^($C468-1),H449*(1-'B. Implementation Plan'!P175)*'B. Implementation Plan'!P176*(1-'B. Implementation Plan'!P147)^($C468-1)),0),0)</f>
        <v>0</v>
      </c>
      <c r="I468" s="347">
        <f>IF($C468&lt;=ROUNDUP('B. Implementation Plan'!P177,0),ROUND(IF(AND($C468-'B. Implementation Plan'!P177&lt;1,$C468-'B. Implementation Plan'!P177&gt;0),MOD('B. Implementation Plan'!P177,1)*I449*(1-'B. Implementation Plan'!P175)*'B. Implementation Plan'!P176*(1-'B. Implementation Plan'!P147)^($C468-1),I449*(1-'B. Implementation Plan'!P175)*'B. Implementation Plan'!P176*(1-'B. Implementation Plan'!P147)^($C468-1)),0),0)</f>
        <v>0</v>
      </c>
      <c r="J468" s="347">
        <f>IF($C468&lt;=ROUNDUP('B. Implementation Plan'!P177,0),ROUND(IF(AND($C468-'B. Implementation Plan'!P177&lt;1,$C468-'B. Implementation Plan'!P177&gt;0),MOD('B. Implementation Plan'!P177,1)*J449*(1-'B. Implementation Plan'!P175)*'B. Implementation Plan'!P176*(1-'B. Implementation Plan'!P147)^($C468-1),J449*(1-'B. Implementation Plan'!P175)*'B. Implementation Plan'!P176*(1-'B. Implementation Plan'!P147)^($C468-1)),0),0)</f>
        <v>0</v>
      </c>
      <c r="K468" s="347">
        <f>IF($C468&lt;=ROUNDUP('B. Implementation Plan'!P177,0),ROUND(IF(AND($C468-'B. Implementation Plan'!P177&lt;1,$C468-'B. Implementation Plan'!P177&gt;0),MOD('B. Implementation Plan'!P177,1)*K449*(1-'B. Implementation Plan'!P175)*'B. Implementation Plan'!P176*(1-'B. Implementation Plan'!P147)^($C468-1),K449*(1-'B. Implementation Plan'!P175)*'B. Implementation Plan'!P176*(1-'B. Implementation Plan'!P147)^($C468-1)),0),0)</f>
        <v>0</v>
      </c>
      <c r="L468" s="347">
        <f>IF($C468&lt;=ROUNDUP('B. Implementation Plan'!P177,0),ROUND(IF(AND($C468-'B. Implementation Plan'!P177&lt;1,$C468-'B. Implementation Plan'!P177&gt;0),MOD('B. Implementation Plan'!P177,1)*L449*(1-'B. Implementation Plan'!P175)*'B. Implementation Plan'!P176*(1-'B. Implementation Plan'!P147)^($C468-1),L449*(1-'B. Implementation Plan'!P175)*'B. Implementation Plan'!P176*(1-'B. Implementation Plan'!P147)^($C468-1)),0),0)</f>
        <v>0</v>
      </c>
      <c r="M468" s="347">
        <f>IF($C468&lt;=ROUNDUP('B. Implementation Plan'!P177,0),ROUND(IF(AND($C468-'B. Implementation Plan'!P177&lt;1,$C468-'B. Implementation Plan'!P177&gt;0),MOD('B. Implementation Plan'!P177,1)*M449*(1-'B. Implementation Plan'!P175)*'B. Implementation Plan'!P176*(1-'B. Implementation Plan'!P147)^($C468-1),M449*(1-'B. Implementation Plan'!P175)*'B. Implementation Plan'!P176*(1-'B. Implementation Plan'!P147)^($C468-1)),0),0)</f>
        <v>0</v>
      </c>
      <c r="N468" s="347">
        <f>IF($C468&lt;=ROUNDUP('B. Implementation Plan'!P177,0),ROUND(IF(AND($C468-'B. Implementation Plan'!P177&lt;1,$C468-'B. Implementation Plan'!P177&gt;0),MOD('B. Implementation Plan'!P177,1)*N449*(1-'B. Implementation Plan'!P175)*'B. Implementation Plan'!P176*(1-'B. Implementation Plan'!P147)^($C468-1),N449*(1-'B. Implementation Plan'!P175)*'B. Implementation Plan'!P176*(1-'B. Implementation Plan'!P147)^($C468-1)),0),0)</f>
        <v>0</v>
      </c>
      <c r="O468" s="347">
        <f>IF($C468&lt;=ROUNDUP('B. Implementation Plan'!P177,0),ROUND(IF(AND($C468-'B. Implementation Plan'!P177&lt;1,$C468-'B. Implementation Plan'!P177&gt;0),MOD('B. Implementation Plan'!P177,1)*O449*(1-'B. Implementation Plan'!P175)*'B. Implementation Plan'!P176*(1-'B. Implementation Plan'!P147)^($C468-1),O449*(1-'B. Implementation Plan'!P175)*'B. Implementation Plan'!P176*(1-'B. Implementation Plan'!P147)^($C468-1)),0),0)</f>
        <v>0</v>
      </c>
      <c r="P468" s="78" t="str">
        <f>IF(SUM(F468:O468)&gt;0,SUM(F468:O468),"")</f>
        <v/>
      </c>
    </row>
    <row r="469" spans="3:16" s="365" customFormat="1" x14ac:dyDescent="0.3">
      <c r="C469" s="370">
        <v>2</v>
      </c>
      <c r="E469"/>
      <c r="F469"/>
      <c r="G469" s="347">
        <f>IF($C469&lt;=ROUNDUP('B. Implementation Plan'!P177,0),ROUND(IF(AND($C469-'B. Implementation Plan'!P177&lt;1,$C469-'B. Implementation Plan'!P177&gt;0),MOD('B. Implementation Plan'!P177,1)*(E449+G449)*(1-'B. Implementation Plan'!P175)*'B. Implementation Plan'!P176*(1-'B. Implementation Plan'!P147)^($C469-1),(E449+G449)*(1-'B. Implementation Plan'!P175)*'B. Implementation Plan'!P176*(1-'B. Implementation Plan'!P147)^($C469-1)),0),0)</f>
        <v>0</v>
      </c>
      <c r="H469" s="347">
        <f>IF($C469&lt;=ROUNDUP('B. Implementation Plan'!P177,0),ROUND(IF(AND($C469-'B. Implementation Plan'!P177&lt;1,$C469-'B. Implementation Plan'!P177&gt;0),MOD('B. Implementation Plan'!P177,1)*G449*(1-'B. Implementation Plan'!P175)*'B. Implementation Plan'!P176*(1-'B. Implementation Plan'!P147)^($C469-1),G449*(1-'B. Implementation Plan'!P175)*'B. Implementation Plan'!P176*(1-'B. Implementation Plan'!P147)^($C469-1)),0),0)</f>
        <v>0</v>
      </c>
      <c r="I469" s="347">
        <f>IF($C469&lt;=ROUNDUP('B. Implementation Plan'!P177,0),ROUND(IF(AND($C469-'B. Implementation Plan'!P177&lt;1,$C469-'B. Implementation Plan'!P177&gt;0),MOD('B. Implementation Plan'!P177,1)*H449*(1-'B. Implementation Plan'!P175)*'B. Implementation Plan'!P176*(1-'B. Implementation Plan'!P147)^($C469-1),H449*(1-'B. Implementation Plan'!P175)*'B. Implementation Plan'!P176*(1-'B. Implementation Plan'!P147)^($C469-1)),0),0)</f>
        <v>0</v>
      </c>
      <c r="J469" s="347">
        <f>IF($C469&lt;=ROUNDUP('B. Implementation Plan'!P177,0),ROUND(IF(AND($C469-'B. Implementation Plan'!P177&lt;1,$C469-'B. Implementation Plan'!P177&gt;0),MOD('B. Implementation Plan'!P177,1)*I449*(1-'B. Implementation Plan'!P175)*'B. Implementation Plan'!P176*(1-'B. Implementation Plan'!P147)^($C469-1),I449*(1-'B. Implementation Plan'!P175)*'B. Implementation Plan'!P176*(1-'B. Implementation Plan'!P147)^($C469-1)),0),0)</f>
        <v>0</v>
      </c>
      <c r="K469" s="347">
        <f>IF($C469&lt;=ROUNDUP('B. Implementation Plan'!P177,0),ROUND(IF(AND($C469-'B. Implementation Plan'!P177&lt;1,$C469-'B. Implementation Plan'!P177&gt;0),MOD('B. Implementation Plan'!P177,1)*J449*(1-'B. Implementation Plan'!P175)*'B. Implementation Plan'!P176*(1-'B. Implementation Plan'!P147)^($C469-1),J449*(1-'B. Implementation Plan'!P175)*'B. Implementation Plan'!P176*(1-'B. Implementation Plan'!P147)^($C469-1)),0),0)</f>
        <v>0</v>
      </c>
      <c r="L469" s="347">
        <f>IF($C469&lt;=ROUNDUP('B. Implementation Plan'!P177,0),ROUND(IF(AND($C469-'B. Implementation Plan'!P177&lt;1,$C469-'B. Implementation Plan'!P177&gt;0),MOD('B. Implementation Plan'!P177,1)*K449*(1-'B. Implementation Plan'!P175)*'B. Implementation Plan'!P176*(1-'B. Implementation Plan'!P147)^($C469-1),K449*(1-'B. Implementation Plan'!P175)*'B. Implementation Plan'!P176*(1-'B. Implementation Plan'!P147)^($C469-1)),0),0)</f>
        <v>0</v>
      </c>
      <c r="M469" s="347">
        <f>IF($C469&lt;=ROUNDUP('B. Implementation Plan'!P177,0),ROUND(IF(AND($C469-'B. Implementation Plan'!P177&lt;1,$C469-'B. Implementation Plan'!P177&gt;0),MOD('B. Implementation Plan'!P177,1)*L449*(1-'B. Implementation Plan'!P175)*'B. Implementation Plan'!P176*(1-'B. Implementation Plan'!P147)^($C469-1),L449*(1-'B. Implementation Plan'!P175)*'B. Implementation Plan'!P176*(1-'B. Implementation Plan'!P147)^($C469-1)),0),0)</f>
        <v>0</v>
      </c>
      <c r="N469" s="347">
        <f>IF($C469&lt;=ROUNDUP('B. Implementation Plan'!P177,0),ROUND(IF(AND($C469-'B. Implementation Plan'!P177&lt;1,$C469-'B. Implementation Plan'!P177&gt;0),MOD('B. Implementation Plan'!P177,1)*M449*(1-'B. Implementation Plan'!P175)*'B. Implementation Plan'!P176*(1-'B. Implementation Plan'!P147)^($C469-1),M449*(1-'B. Implementation Plan'!P175)*'B. Implementation Plan'!P176*(1-'B. Implementation Plan'!P147)^($C469-1)),0),0)</f>
        <v>0</v>
      </c>
      <c r="O469" s="347">
        <f>IF($C469&lt;=ROUNDUP('B. Implementation Plan'!P177,0),ROUND(IF(AND($C469-'B. Implementation Plan'!P177&lt;1,$C469-'B. Implementation Plan'!P177&gt;0),MOD('B. Implementation Plan'!P177,1)*N449*(1-'B. Implementation Plan'!P175)*'B. Implementation Plan'!P176*(1-'B. Implementation Plan'!P147)^($C469-1),N449*(1-'B. Implementation Plan'!P175)*'B. Implementation Plan'!P176*(1-'B. Implementation Plan'!P147)^($C469-1)),0),0)</f>
        <v>0</v>
      </c>
      <c r="P469" s="78" t="str">
        <f t="shared" ref="P469:P477" si="348">IF(SUM(F469:O469)&gt;0,SUM(F469:O469),"")</f>
        <v/>
      </c>
    </row>
    <row r="470" spans="3:16" s="365" customFormat="1" x14ac:dyDescent="0.3">
      <c r="C470" s="370">
        <v>3</v>
      </c>
      <c r="E470"/>
      <c r="F470"/>
      <c r="G470"/>
      <c r="H470" s="347">
        <f>IF($C470&lt;=ROUNDUP('B. Implementation Plan'!P177,0),ROUND(IF(AND($C470-'B. Implementation Plan'!P177&lt;1,$C470-'B. Implementation Plan'!P177&gt;0),MOD('B. Implementation Plan'!P177,1)*(E449+H449)*(1-'B. Implementation Plan'!P175)*'B. Implementation Plan'!P176*(1-'B. Implementation Plan'!P147)^($C470-1),(E449+H449)*(1-'B. Implementation Plan'!P175)*'B. Implementation Plan'!P176*(1-'B. Implementation Plan'!P147)^($C470-1)),0),0)</f>
        <v>0</v>
      </c>
      <c r="I470" s="347">
        <f>IF($C470&lt;=ROUNDUP('B. Implementation Plan'!P177,0),ROUND(IF(AND($C470-'B. Implementation Plan'!P177&lt;1,$C470-'B. Implementation Plan'!P177&gt;0),MOD('B. Implementation Plan'!P177,1)*G449*(1-'B. Implementation Plan'!P175)*'B. Implementation Plan'!P176*(1-'B. Implementation Plan'!P147)^($C470-1),G449*(1-'B. Implementation Plan'!P175)*'B. Implementation Plan'!P176*(1-'B. Implementation Plan'!P147)^($C470-1)),0),0)</f>
        <v>0</v>
      </c>
      <c r="J470" s="347">
        <f>IF($C470&lt;=ROUNDUP('B. Implementation Plan'!P177,0),ROUND(IF(AND($C470-'B. Implementation Plan'!P177&lt;1,$C470-'B. Implementation Plan'!P177&gt;0),MOD('B. Implementation Plan'!P177,1)*H449*(1-'B. Implementation Plan'!P175)*'B. Implementation Plan'!P176*(1-'B. Implementation Plan'!P147)^($C470-1),H449*(1-'B. Implementation Plan'!P175)*'B. Implementation Plan'!P176*(1-'B. Implementation Plan'!P147)^($C470-1)),0),0)</f>
        <v>0</v>
      </c>
      <c r="K470" s="347">
        <f>IF($C470&lt;=ROUNDUP('B. Implementation Plan'!P177,0),ROUND(IF(AND($C470-'B. Implementation Plan'!P177&lt;1,$C470-'B. Implementation Plan'!P177&gt;0),MOD('B. Implementation Plan'!P177,1)*I449*(1-'B. Implementation Plan'!P175)*'B. Implementation Plan'!P176*(1-'B. Implementation Plan'!P147)^($C470-1),I449*(1-'B. Implementation Plan'!P175)*'B. Implementation Plan'!P176*(1-'B. Implementation Plan'!P147)^($C470-1)),0),0)</f>
        <v>0</v>
      </c>
      <c r="L470" s="347">
        <f>IF($C470&lt;=ROUNDUP('B. Implementation Plan'!P177,0),ROUND(IF(AND($C470-'B. Implementation Plan'!P177&lt;1,$C470-'B. Implementation Plan'!P177&gt;0),MOD('B. Implementation Plan'!P177,1)*J449*(1-'B. Implementation Plan'!P175)*'B. Implementation Plan'!P176*(1-'B. Implementation Plan'!P147)^($C470-1),J449*(1-'B. Implementation Plan'!P175)*'B. Implementation Plan'!P176*(1-'B. Implementation Plan'!P147)^($C470-1)),0),0)</f>
        <v>0</v>
      </c>
      <c r="M470" s="347">
        <f>IF($C470&lt;=ROUNDUP('B. Implementation Plan'!P177,0),ROUND(IF(AND($C470-'B. Implementation Plan'!P177&lt;1,$C470-'B. Implementation Plan'!P177&gt;0),MOD('B. Implementation Plan'!P177,1)*K449*(1-'B. Implementation Plan'!P175)*'B. Implementation Plan'!P176*(1-'B. Implementation Plan'!P147)^($C470-1),K449*(1-'B. Implementation Plan'!P175)*'B. Implementation Plan'!P176*(1-'B. Implementation Plan'!P147)^($C470-1)),0),0)</f>
        <v>0</v>
      </c>
      <c r="N470" s="347">
        <f>IF($C470&lt;=ROUNDUP('B. Implementation Plan'!P177,0),ROUND(IF(AND($C470-'B. Implementation Plan'!P177&lt;1,$C470-'B. Implementation Plan'!P177&gt;0),MOD('B. Implementation Plan'!P177,1)*L449*(1-'B. Implementation Plan'!P175)*'B. Implementation Plan'!P176*(1-'B. Implementation Plan'!P147)^($C470-1),L449*(1-'B. Implementation Plan'!P175)*'B. Implementation Plan'!P176*(1-'B. Implementation Plan'!P147)^($C470-1)),0),0)</f>
        <v>0</v>
      </c>
      <c r="O470" s="347">
        <f>IF($C470&lt;=ROUNDUP('B. Implementation Plan'!P177,0),ROUND(IF(AND($C470-'B. Implementation Plan'!P177&lt;1,$C470-'B. Implementation Plan'!P177&gt;0),MOD('B. Implementation Plan'!P177,1)*M449*(1-'B. Implementation Plan'!P175)*'B. Implementation Plan'!P176*(1-'B. Implementation Plan'!P147)^($C470-1),M449*(1-'B. Implementation Plan'!P175)*'B. Implementation Plan'!P176*(1-'B. Implementation Plan'!P147)^($C470-1)),0),0)</f>
        <v>0</v>
      </c>
      <c r="P470" s="78" t="str">
        <f t="shared" si="348"/>
        <v/>
      </c>
    </row>
    <row r="471" spans="3:16" s="365" customFormat="1" x14ac:dyDescent="0.3">
      <c r="C471" s="370">
        <v>4</v>
      </c>
      <c r="D471" s="365" t="s">
        <v>361</v>
      </c>
      <c r="E471"/>
      <c r="F471"/>
      <c r="G471"/>
      <c r="H471"/>
      <c r="I471" s="347">
        <f>IF($C471&lt;=ROUNDUP('B. Implementation Plan'!P177,0),ROUND(IF(AND($C471-'B. Implementation Plan'!P177&lt;1,$C471-'B. Implementation Plan'!P177&gt;0),MOD('B. Implementation Plan'!P177,1)*(E449+I449)*(1-'B. Implementation Plan'!P175)*'B. Implementation Plan'!P176*(1-'B. Implementation Plan'!P147)^($C471-1),(E449+I449)*(1-'B. Implementation Plan'!P175)*'B. Implementation Plan'!P176*(1-'B. Implementation Plan'!P147)^($C471-1)),0),0)</f>
        <v>0</v>
      </c>
      <c r="J471" s="347">
        <f>IF($C471&lt;=ROUNDUP('B. Implementation Plan'!P177,0),ROUND(IF(AND($C471-'B. Implementation Plan'!P177&lt;1,$C471-'B. Implementation Plan'!P177&gt;0),MOD('B. Implementation Plan'!P177,1)*G449*(1-'B. Implementation Plan'!P175)*'B. Implementation Plan'!P176*(1-'B. Implementation Plan'!P147)^($C471-1),G449*(1-'B. Implementation Plan'!P175)*'B. Implementation Plan'!P176*(1-'B. Implementation Plan'!P147)^($C471-1)),0),0)</f>
        <v>0</v>
      </c>
      <c r="K471" s="347">
        <f>IF($C471&lt;=ROUNDUP('B. Implementation Plan'!P177,0),ROUND(IF(AND($C471-'B. Implementation Plan'!P177&lt;1,$C471-'B. Implementation Plan'!P177&gt;0),MOD('B. Implementation Plan'!P177,1)*H449*(1-'B. Implementation Plan'!P175)*'B. Implementation Plan'!P176*(1-'B. Implementation Plan'!P147)^($C471-1),H449*(1-'B. Implementation Plan'!P175)*'B. Implementation Plan'!P176*(1-'B. Implementation Plan'!P147)^($C471-1)),0),0)</f>
        <v>0</v>
      </c>
      <c r="L471" s="347">
        <f>IF($C471&lt;=ROUNDUP('B. Implementation Plan'!P177,0),ROUND(IF(AND($C471-'B. Implementation Plan'!P177&lt;1,$C471-'B. Implementation Plan'!P177&gt;0),MOD('B. Implementation Plan'!P177,1)*I449*(1-'B. Implementation Plan'!P175)*'B. Implementation Plan'!P176*(1-'B. Implementation Plan'!P147)^($C471-1),I449*(1-'B. Implementation Plan'!P175)*'B. Implementation Plan'!P176*(1-'B. Implementation Plan'!P147)^($C471-1)),0),0)</f>
        <v>0</v>
      </c>
      <c r="M471" s="347">
        <f>IF($C471&lt;=ROUNDUP('B. Implementation Plan'!P177,0),ROUND(IF(AND($C471-'B. Implementation Plan'!P177&lt;1,$C471-'B. Implementation Plan'!P177&gt;0),MOD('B. Implementation Plan'!P177,1)*J449*(1-'B. Implementation Plan'!P175)*'B. Implementation Plan'!P176*(1-'B. Implementation Plan'!P147)^($C471-1),J449*(1-'B. Implementation Plan'!P175)*'B. Implementation Plan'!P176*(1-'B. Implementation Plan'!P147)^($C471-1)),0),0)</f>
        <v>0</v>
      </c>
      <c r="N471" s="347">
        <f>IF($C471&lt;=ROUNDUP('B. Implementation Plan'!P177,0),ROUND(IF(AND($C471-'B. Implementation Plan'!P177&lt;1,$C471-'B. Implementation Plan'!P177&gt;0),MOD('B. Implementation Plan'!P177,1)*K449*(1-'B. Implementation Plan'!P175)*'B. Implementation Plan'!P176*(1-'B. Implementation Plan'!P147)^($C471-1),K449*(1-'B. Implementation Plan'!P175)*'B. Implementation Plan'!P176*(1-'B. Implementation Plan'!P147)^($C471-1)),0),0)</f>
        <v>0</v>
      </c>
      <c r="O471" s="347">
        <f>IF($C471&lt;=ROUNDUP('B. Implementation Plan'!P177,0),ROUND(IF(AND($C471-'B. Implementation Plan'!P177&lt;1,$C471-'B. Implementation Plan'!P177&gt;0),MOD('B. Implementation Plan'!P177,1)*L449*(1-'B. Implementation Plan'!P175)*'B. Implementation Plan'!P176*(1-'B. Implementation Plan'!P147)^($C471-1),L449*(1-'B. Implementation Plan'!P175)*'B. Implementation Plan'!P176*(1-'B. Implementation Plan'!P147)^($C471-1)),0),0)</f>
        <v>0</v>
      </c>
      <c r="P471" s="78" t="str">
        <f t="shared" si="348"/>
        <v/>
      </c>
    </row>
    <row r="472" spans="3:16" s="365" customFormat="1" x14ac:dyDescent="0.3">
      <c r="C472" s="370">
        <v>5</v>
      </c>
      <c r="E472"/>
      <c r="F472"/>
      <c r="G472"/>
      <c r="H472"/>
      <c r="I472"/>
      <c r="J472" s="347">
        <f>IF($C472&lt;=ROUNDUP('B. Implementation Plan'!P177,0),ROUND(IF(AND($C472-'B. Implementation Plan'!P177&lt;1,$C472-'B. Implementation Plan'!P177&gt;0),MOD('B. Implementation Plan'!P177,1)*(E449+J449)*(1-'B. Implementation Plan'!P175)*'B. Implementation Plan'!P176*(1-'B. Implementation Plan'!P147)^($C472-1),(E449+J449)*(1-'B. Implementation Plan'!P175)*'B. Implementation Plan'!P176*(1-'B. Implementation Plan'!P147)^($C472-1)),0),0)</f>
        <v>0</v>
      </c>
      <c r="K472" s="347">
        <f>IF($C472&lt;=ROUNDUP('B. Implementation Plan'!P177,0),ROUND(IF(AND($C472-'B. Implementation Plan'!P177&lt;1,$C472-'B. Implementation Plan'!P177&gt;0),MOD('B. Implementation Plan'!P177,1)*G449*(1-'B. Implementation Plan'!P175)*'B. Implementation Plan'!P176*(1-'B. Implementation Plan'!P147)^($C472-1),G449*(1-'B. Implementation Plan'!P175)*'B. Implementation Plan'!P176*(1-'B. Implementation Plan'!P147)^($C472-1)),0),0)</f>
        <v>0</v>
      </c>
      <c r="L472" s="347">
        <f>IF($C472&lt;=ROUNDUP('B. Implementation Plan'!P177,0),ROUND(IF(AND($C472-'B. Implementation Plan'!P177&lt;1,$C472-'B. Implementation Plan'!P177&gt;0),MOD('B. Implementation Plan'!P177,1)*H449*(1-'B. Implementation Plan'!P175)*'B. Implementation Plan'!P176*(1-'B. Implementation Plan'!P147)^($C472-1),H449*(1-'B. Implementation Plan'!P175)*'B. Implementation Plan'!P176*(1-'B. Implementation Plan'!P147)^($C472-1)),0),0)</f>
        <v>0</v>
      </c>
      <c r="M472" s="347">
        <f>IF($C472&lt;=ROUNDUP('B. Implementation Plan'!P177,0),ROUND(IF(AND($C472-'B. Implementation Plan'!P177&lt;1,$C472-'B. Implementation Plan'!P177&gt;0),MOD('B. Implementation Plan'!P177,1)*I449*(1-'B. Implementation Plan'!P175)*'B. Implementation Plan'!P176*(1-'B. Implementation Plan'!P147)^($C472-1),I449*(1-'B. Implementation Plan'!P175)*'B. Implementation Plan'!P176*(1-'B. Implementation Plan'!P147)^($C472-1)),0),0)</f>
        <v>0</v>
      </c>
      <c r="N472" s="347">
        <f>IF($C472&lt;=ROUNDUP('B. Implementation Plan'!P177,0),ROUND(IF(AND($C472-'B. Implementation Plan'!P177&lt;1,$C472-'B. Implementation Plan'!P177&gt;0),MOD('B. Implementation Plan'!P177,1)*J449*(1-'B. Implementation Plan'!P175)*'B. Implementation Plan'!P176*(1-'B. Implementation Plan'!P147)^($C472-1),J449*(1-'B. Implementation Plan'!P175)*'B. Implementation Plan'!P176*(1-'B. Implementation Plan'!P147)^($C472-1)),0),0)</f>
        <v>0</v>
      </c>
      <c r="O472" s="347">
        <f>IF($C472&lt;=ROUNDUP('B. Implementation Plan'!P177,0),ROUND(IF(AND($C472-'B. Implementation Plan'!P177&lt;1,$C472-'B. Implementation Plan'!P177&gt;0),MOD('B. Implementation Plan'!P177,1)*K449*(1-'B. Implementation Plan'!P175)*'B. Implementation Plan'!P176*(1-'B. Implementation Plan'!P147)^($C472-1),K449*(1-'B. Implementation Plan'!P175)*'B. Implementation Plan'!P176*(1-'B. Implementation Plan'!P147)^($C472-1)),0),0)</f>
        <v>0</v>
      </c>
      <c r="P472" s="78" t="str">
        <f t="shared" si="348"/>
        <v/>
      </c>
    </row>
    <row r="473" spans="3:16" s="365" customFormat="1" x14ac:dyDescent="0.3">
      <c r="C473" s="370">
        <v>6</v>
      </c>
      <c r="E473"/>
      <c r="F473"/>
      <c r="G473"/>
      <c r="H473"/>
      <c r="I473"/>
      <c r="J473"/>
      <c r="K473" s="347">
        <f>IF($C473&lt;=ROUNDUP('B. Implementation Plan'!P177,0),ROUND(IF(AND($C473-'B. Implementation Plan'!P177&lt;1,$C473-'B. Implementation Plan'!P177&gt;0),MOD('B. Implementation Plan'!P177,1)*(E449+K449)*(1-'B. Implementation Plan'!P175)*'B. Implementation Plan'!P176*(1-'B. Implementation Plan'!P147)^($C473-1),(E449+K449)*(1-'B. Implementation Plan'!P175)*'B. Implementation Plan'!P176*(1-'B. Implementation Plan'!P147)^($C473-1)),0),0)</f>
        <v>0</v>
      </c>
      <c r="L473" s="347">
        <f>IF($C473&lt;=ROUNDUP('B. Implementation Plan'!P177,0),ROUND(IF(AND($C473-'B. Implementation Plan'!P177&lt;1,$C473-'B. Implementation Plan'!P177&gt;0),MOD('B. Implementation Plan'!P177,1)*G449*(1-'B. Implementation Plan'!P175)*'B. Implementation Plan'!P176*(1-'B. Implementation Plan'!P147)^($C473-1),G449*(1-'B. Implementation Plan'!P175)*'B. Implementation Plan'!P176*(1-'B. Implementation Plan'!P147)^($C473-1)),0),0)</f>
        <v>0</v>
      </c>
      <c r="M473" s="347">
        <f>IF($C473&lt;=ROUNDUP('B. Implementation Plan'!P177,0),ROUND(IF(AND($C473-'B. Implementation Plan'!P177&lt;1,$C473-'B. Implementation Plan'!P177&gt;0),MOD('B. Implementation Plan'!P177,1)*H449*(1-'B. Implementation Plan'!P175)*'B. Implementation Plan'!P176*(1-'B. Implementation Plan'!P147)^($C473-1),H449*(1-'B. Implementation Plan'!P175)*'B. Implementation Plan'!P176*(1-'B. Implementation Plan'!P147)^($C473-1)),0),0)</f>
        <v>0</v>
      </c>
      <c r="N473" s="347">
        <f>IF($C473&lt;=ROUNDUP('B. Implementation Plan'!P177,0),ROUND(IF(AND($C473-'B. Implementation Plan'!P177&lt;1,$C473-'B. Implementation Plan'!P177&gt;0),MOD('B. Implementation Plan'!P177,1)*I449*(1-'B. Implementation Plan'!P175)*'B. Implementation Plan'!P176*(1-'B. Implementation Plan'!P147)^($C473-1),I449*(1-'B. Implementation Plan'!P175)*'B. Implementation Plan'!P176*(1-'B. Implementation Plan'!P147)^($C473-1)),0),0)</f>
        <v>0</v>
      </c>
      <c r="O473" s="347">
        <f>IF($C473&lt;=ROUNDUP('B. Implementation Plan'!P177,0),ROUND(IF(AND($C473-'B. Implementation Plan'!P177&lt;1,$C473-'B. Implementation Plan'!P177&gt;0),MOD('B. Implementation Plan'!P177,1)*J449*(1-'B. Implementation Plan'!P175)*'B. Implementation Plan'!P176*(1-'B. Implementation Plan'!P147)^($C473-1),J449*(1-'B. Implementation Plan'!P175)*'B. Implementation Plan'!P176*(1-'B. Implementation Plan'!P147)^($C473-1)),0),0)</f>
        <v>0</v>
      </c>
      <c r="P473" s="78" t="str">
        <f t="shared" si="348"/>
        <v/>
      </c>
    </row>
    <row r="474" spans="3:16" s="365" customFormat="1" x14ac:dyDescent="0.3">
      <c r="C474" s="370">
        <v>7</v>
      </c>
      <c r="E474"/>
      <c r="F474"/>
      <c r="G474"/>
      <c r="H474"/>
      <c r="I474"/>
      <c r="J474"/>
      <c r="K474"/>
      <c r="L474" s="347">
        <f>IF($C474&lt;=ROUNDUP('B. Implementation Plan'!P177,0),ROUND(IF(AND($C474-'B. Implementation Plan'!P177&lt;1,$C474-'B. Implementation Plan'!P177&gt;0),MOD('B. Implementation Plan'!P177,1)*(E449+L449)*(1-'B. Implementation Plan'!P175)*'B. Implementation Plan'!P176*(1-'B. Implementation Plan'!P147)^($C474-1),(E449+L449)*(1-'B. Implementation Plan'!P175)*'B. Implementation Plan'!P176*(1-'B. Implementation Plan'!P147)^($C474-1)),0),0)</f>
        <v>0</v>
      </c>
      <c r="M474" s="347">
        <f>IF($C474&lt;=ROUNDUP('B. Implementation Plan'!P177,0),ROUND(IF(AND($C474-'B. Implementation Plan'!P177&lt;1,$C474-'B. Implementation Plan'!P177&gt;0),MOD('B. Implementation Plan'!P177,1)*G449*(1-'B. Implementation Plan'!P175)*'B. Implementation Plan'!P176*(1-'B. Implementation Plan'!P147)^($C474-1),G449*(1-'B. Implementation Plan'!P175)*'B. Implementation Plan'!P176*(1-'B. Implementation Plan'!P147)^($C474-1)),0),0)</f>
        <v>0</v>
      </c>
      <c r="N474" s="347">
        <f>IF($C474&lt;=ROUNDUP('B. Implementation Plan'!P177,0),ROUND(IF(AND($C474-'B. Implementation Plan'!P177&lt;1,$C474-'B. Implementation Plan'!P177&gt;0),MOD('B. Implementation Plan'!P177,1)*H449*(1-'B. Implementation Plan'!P175)*'B. Implementation Plan'!P176*(1-'B. Implementation Plan'!P147)^($C474-1),H449*(1-'B. Implementation Plan'!P175)*'B. Implementation Plan'!P176*(1-'B. Implementation Plan'!P147)^($C474-1)),0),0)</f>
        <v>0</v>
      </c>
      <c r="O474" s="347">
        <f>IF($C474&lt;=ROUNDUP('B. Implementation Plan'!P177,0),ROUND(IF(AND($C474-'B. Implementation Plan'!P177&lt;1,$C474-'B. Implementation Plan'!P177&gt;0),MOD('B. Implementation Plan'!P177,1)*I449*(1-'B. Implementation Plan'!P175)*'B. Implementation Plan'!P176*(1-'B. Implementation Plan'!P147)^($C474-1),I449*(1-'B. Implementation Plan'!P175)*'B. Implementation Plan'!P176*(1-'B. Implementation Plan'!P147)^($C474-1)),0),0)</f>
        <v>0</v>
      </c>
      <c r="P474" s="78" t="str">
        <f t="shared" si="348"/>
        <v/>
      </c>
    </row>
    <row r="475" spans="3:16" s="365" customFormat="1" x14ac:dyDescent="0.3">
      <c r="C475" s="370">
        <v>8</v>
      </c>
      <c r="E475"/>
      <c r="F475"/>
      <c r="G475"/>
      <c r="H475"/>
      <c r="I475"/>
      <c r="J475"/>
      <c r="K475"/>
      <c r="L475"/>
      <c r="M475" s="347">
        <f>IF($C475&lt;=ROUNDUP('B. Implementation Plan'!P177,0),ROUND(IF(AND($C475-'B. Implementation Plan'!P177&lt;1,$C475-'B. Implementation Plan'!P177&gt;0),MOD('B. Implementation Plan'!P177,1)*(E449+M449)*(1-'B. Implementation Plan'!P175)*'B. Implementation Plan'!P176*(1-'B. Implementation Plan'!P147)^($C475-1),(E449+M449)*(1-'B. Implementation Plan'!P175)*'B. Implementation Plan'!P176*(1-'B. Implementation Plan'!P147)^($C475-1)),0),0)</f>
        <v>0</v>
      </c>
      <c r="N475" s="347">
        <f>IF($C475&lt;=ROUNDUP('B. Implementation Plan'!P177,0),ROUND(IF(AND($C475-'B. Implementation Plan'!P177&lt;1,$C475-'B. Implementation Plan'!P177&gt;0),MOD('B. Implementation Plan'!P177,1)*G449*(1-'B. Implementation Plan'!P175)*'B. Implementation Plan'!P176*(1-'B. Implementation Plan'!P147)^($C475-1),G449*(1-'B. Implementation Plan'!P175)*'B. Implementation Plan'!P176*(1-'B. Implementation Plan'!P147)^($C475-1)),0),0)</f>
        <v>0</v>
      </c>
      <c r="O475" s="347">
        <f>IF($C475&lt;=ROUNDUP('B. Implementation Plan'!P177,0),ROUND(IF(AND($C475-'B. Implementation Plan'!P177&lt;1,$C475-'B. Implementation Plan'!P177&gt;0),MOD('B. Implementation Plan'!P177,1)*H449*(1-'B. Implementation Plan'!P175)*'B. Implementation Plan'!P176*(1-'B. Implementation Plan'!P147)^($C475-1),H449*(1-'B. Implementation Plan'!P175)*'B. Implementation Plan'!P176*(1-'B. Implementation Plan'!P147)^($C475-1)),0),0)</f>
        <v>0</v>
      </c>
      <c r="P475" s="78" t="str">
        <f t="shared" si="348"/>
        <v/>
      </c>
    </row>
    <row r="476" spans="3:16" s="365" customFormat="1" x14ac:dyDescent="0.3">
      <c r="C476" s="370">
        <v>9</v>
      </c>
      <c r="E476"/>
      <c r="F476"/>
      <c r="G476"/>
      <c r="H476"/>
      <c r="I476"/>
      <c r="J476"/>
      <c r="K476"/>
      <c r="L476"/>
      <c r="M476"/>
      <c r="N476" s="347">
        <f>IF($C476&lt;=ROUNDUP('B. Implementation Plan'!P177,0),ROUND(IF(AND($C476-'B. Implementation Plan'!P177&lt;1,$C476-'B. Implementation Plan'!P177&gt;0),MOD('B. Implementation Plan'!P177,1)*(E449+N449)*(1-'B. Implementation Plan'!P175)*'B. Implementation Plan'!P176*(1-'B. Implementation Plan'!P147)^($C476-1),(E449+N449)*(1-'B. Implementation Plan'!P175)*'B. Implementation Plan'!P176*(1-'B. Implementation Plan'!P147)^($C476-1)),0),0)</f>
        <v>0</v>
      </c>
      <c r="O476" s="347">
        <f>IF($C476&lt;=ROUNDUP('B. Implementation Plan'!P177,0),ROUND(IF(AND($C476-'B. Implementation Plan'!P177&lt;1,$C476-'B. Implementation Plan'!P177&gt;0),MOD('B. Implementation Plan'!P177,1)*G449*(1-'B. Implementation Plan'!P175)*'B. Implementation Plan'!P176*(1-'B. Implementation Plan'!P147)^($C476-1),G449*(1-'B. Implementation Plan'!P175)*'B. Implementation Plan'!P176*(1-'B. Implementation Plan'!P147)^($C476-1)),0),0)</f>
        <v>0</v>
      </c>
      <c r="P476" s="78" t="str">
        <f t="shared" si="348"/>
        <v/>
      </c>
    </row>
    <row r="477" spans="3:16" s="365" customFormat="1" x14ac:dyDescent="0.3">
      <c r="C477" s="370">
        <v>10</v>
      </c>
      <c r="E477"/>
      <c r="F477"/>
      <c r="G477"/>
      <c r="H477"/>
      <c r="I477"/>
      <c r="J477"/>
      <c r="K477"/>
      <c r="L477"/>
      <c r="M477"/>
      <c r="N477" s="19"/>
      <c r="O477" s="347">
        <f>IF($C477&lt;=ROUNDUP('B. Implementation Plan'!P177,0),ROUND(IF(AND($C477-'B. Implementation Plan'!P177&lt;1,$C477-'B. Implementation Plan'!P177&gt;0),MOD('B. Implementation Plan'!P177,1)*(E449+O449)*(1-'B. Implementation Plan'!P175)*'B. Implementation Plan'!P176*(1-'B. Implementation Plan'!P147)^($C477-1),(E449+O449)*(1-'B. Implementation Plan'!P175)*'B. Implementation Plan'!P176*(1-'B. Implementation Plan'!P147)^($C477-1)),0),0)</f>
        <v>0</v>
      </c>
      <c r="P477" s="78" t="str">
        <f t="shared" si="348"/>
        <v/>
      </c>
    </row>
    <row r="478" spans="3:16" s="1" customFormat="1" x14ac:dyDescent="0.3">
      <c r="C478" s="376" t="s">
        <v>489</v>
      </c>
      <c r="E478"/>
      <c r="F478" s="371">
        <f t="shared" ref="F478:O478" ca="1" si="349">IF(F444&gt;0,SUM(F468:F477),0)</f>
        <v>0</v>
      </c>
      <c r="G478" s="371">
        <f t="shared" ca="1" si="349"/>
        <v>0</v>
      </c>
      <c r="H478" s="371">
        <f t="shared" ca="1" si="349"/>
        <v>0</v>
      </c>
      <c r="I478" s="371">
        <f t="shared" ca="1" si="349"/>
        <v>0</v>
      </c>
      <c r="J478" s="371">
        <f t="shared" ca="1" si="349"/>
        <v>0</v>
      </c>
      <c r="K478" s="371">
        <f t="shared" ca="1" si="349"/>
        <v>0</v>
      </c>
      <c r="L478" s="371">
        <f t="shared" ca="1" si="349"/>
        <v>0</v>
      </c>
      <c r="M478" s="371">
        <f t="shared" ca="1" si="349"/>
        <v>0</v>
      </c>
      <c r="N478" s="371">
        <f t="shared" ca="1" si="349"/>
        <v>0</v>
      </c>
      <c r="O478" s="371">
        <f t="shared" ca="1" si="349"/>
        <v>0</v>
      </c>
      <c r="P478" s="325">
        <f ca="1">SUM(E478:O478)</f>
        <v>0</v>
      </c>
    </row>
    <row r="479" spans="3:16" s="1" customFormat="1" x14ac:dyDescent="0.3">
      <c r="C479" s="353" t="s">
        <v>490</v>
      </c>
      <c r="E479"/>
      <c r="F479" s="324">
        <f ca="1">MIN(IFERROR(ROUNDUP(IF(F444&gt;0,INDEX(F468:F477,MATCH(9.99999999999999E+307,P468:P477))/IF(MOD('B. Implementation Plan'!P177,1)=0,1,MOD('B. Implementation Plan'!P177,1)),0),0),0),MAX(E468:E477))</f>
        <v>0</v>
      </c>
      <c r="G479" s="324">
        <f ca="1">MIN(IFERROR(ROUNDUP(IF(G444&gt;0,INDEX(G468:G477,MATCH(9.99999999999999E+307,P468:P477))/IF(MOD('B. Implementation Plan'!P177,1)=0,1,MOD('B. Implementation Plan'!P177,1)),0),0),0),MAX(E468:F477))</f>
        <v>0</v>
      </c>
      <c r="H479" s="324">
        <f ca="1">MIN(IFERROR(ROUNDUP(IF(H444&gt;0,INDEX(H468:H477,MATCH(9.99999999999999E+307,P468:P477))/IF(MOD('B. Implementation Plan'!P177,1)=0,1,MOD('B. Implementation Plan'!P177,1)),0),0),0),MAX(E468:G477))</f>
        <v>0</v>
      </c>
      <c r="I479" s="324">
        <f ca="1">MIN(IFERROR(ROUNDUP(IF(I444&gt;0,INDEX(I468:I477,MATCH(9.99999999999999E+307,P468:P477))/IF(MOD('B. Implementation Plan'!P177,1)=0,1,MOD('B. Implementation Plan'!P177,1)),0),0),0),MAX(E468:H477))</f>
        <v>0</v>
      </c>
      <c r="J479" s="324">
        <f ca="1">MIN(IFERROR(ROUNDUP(IF(J444&gt;0,INDEX(J468:J477,MATCH(9.99999999999999E+307,P468:P477))/IF(MOD('B. Implementation Plan'!P177,1)=0,1,MOD('B. Implementation Plan'!P177,1)),0),0),0),MAX(E468:I477))</f>
        <v>0</v>
      </c>
      <c r="K479" s="324">
        <f ca="1">MIN(IFERROR(ROUNDUP(IF(K444&gt;0,INDEX(K468:K477,MATCH(9.99999999999999E+307,P468:P477))/IF(MOD('B. Implementation Plan'!P177,1)=0,1,MOD('B. Implementation Plan'!P177,1)),0),0),0),MAX(E468:J477))</f>
        <v>0</v>
      </c>
      <c r="L479" s="324">
        <f ca="1">MIN(IFERROR(ROUNDUP(IF(L444&gt;0,INDEX(L468:L477,MATCH(9.99999999999999E+307,P468:P477))/IF(MOD('B. Implementation Plan'!P177,1)=0,1,MOD('B. Implementation Plan'!P177,1)),0),0),0),MAX(E468:K477))</f>
        <v>0</v>
      </c>
      <c r="M479" s="324">
        <f ca="1">MIN(IFERROR(ROUNDUP(IF(M444&gt;0,INDEX(M468:M477,MATCH(9.99999999999999E+307,P468:P477))/IF(MOD('B. Implementation Plan'!P177,1)=0,1,MOD('B. Implementation Plan'!P177,1)),0),0),0),MAX(E468:L477))</f>
        <v>0</v>
      </c>
      <c r="N479" s="324">
        <f ca="1">MIN(IFERROR(ROUNDUP(IF(N444&gt;0,INDEX(N468:N477,MATCH(9.99999999999999E+307,P468:P477))/IF(MOD('B. Implementation Plan'!P177,1)=0,1,MOD('B. Implementation Plan'!P177,1)),0),0),0),MAX(E468:M477))</f>
        <v>0</v>
      </c>
      <c r="O479" s="324">
        <f ca="1">MIN(IFERROR(ROUNDUP(IF(O444&gt;0,INDEX(O468:O477,MATCH(9.99999999999999E+307,P468:P477))/IF(MOD('B. Implementation Plan'!P177,1)=0,1,MOD('B. Implementation Plan'!P177,1)),0),0),0),MAX(E468:N477))</f>
        <v>0</v>
      </c>
      <c r="P479" s="325">
        <f ca="1">SUM(E479:O479)</f>
        <v>0</v>
      </c>
    </row>
    <row r="480" spans="3:16" s="365" customFormat="1" x14ac:dyDescent="0.3">
      <c r="C480" s="326" t="s">
        <v>494</v>
      </c>
      <c r="E480"/>
      <c r="F480" s="347">
        <f ca="1">ROUNDUP(IF(F444&gt;0,IF(SUM(E479:F479,E480:E480)*'B. Implementation Plan'!P147&gt;P479,0,-ROUND(SUM(E479:F479,E480:E480)*'B. Implementation Plan'!P147,0)),0),0)</f>
        <v>0</v>
      </c>
      <c r="G480" s="347">
        <f ca="1">ROUNDUP(IF(G444&gt;0,IF(SUM(E479:G479,E480:F480)*'B. Implementation Plan'!P147&gt;P479,0,-ROUND(SUM(E479:G479,E480:F480)*'B. Implementation Plan'!P147,0)),0),0)</f>
        <v>0</v>
      </c>
      <c r="H480" s="347">
        <f ca="1">ROUNDUP(IF(H444&gt;0,IF(SUM(E479:H479,E480:G480)*'B. Implementation Plan'!P147&gt;P479,0,-ROUND(SUM(E479:H479,E480:G480)*'B. Implementation Plan'!P147,0)),0),0)</f>
        <v>0</v>
      </c>
      <c r="I480" s="347">
        <f ca="1">ROUNDUP(IF(I444&gt;0,IF(SUM(E479:I479,E480:H480)*'B. Implementation Plan'!P147&gt;P479,0,-ROUND(SUM(E479:I479,E480:H480)*'B. Implementation Plan'!P147,0)),0),0)</f>
        <v>0</v>
      </c>
      <c r="J480" s="347">
        <f ca="1">ROUNDUP(IF(J444&gt;0,IF(SUM(E479:J479,E480:I480)*'B. Implementation Plan'!P147&gt;P479,0,-ROUND(SUM(E479:J479,E480:I480)*'B. Implementation Plan'!P147,0)),0),0)</f>
        <v>0</v>
      </c>
      <c r="K480" s="347">
        <f ca="1">ROUNDUP(IF(K444&gt;0,IF(SUM(E479:K479,E480:J480)*'B. Implementation Plan'!P147&gt;P479,0,-ROUND(SUM(E479:K479,E480:J480)*'B. Implementation Plan'!P147,0)),0),0)</f>
        <v>0</v>
      </c>
      <c r="L480" s="347">
        <f ca="1">ROUNDUP(IF(L444&gt;0,IF(SUM(E479:L479,E480:K480)*'B. Implementation Plan'!P147&gt;P479,0,-ROUND(SUM(E479:L479,E480:K480)*'B. Implementation Plan'!P147,0)),0),0)</f>
        <v>0</v>
      </c>
      <c r="M480" s="347">
        <f ca="1">ROUNDUP(IF(M444&gt;0,IF(SUM(E479:M479,E480:L480)*'B. Implementation Plan'!P147&gt;P479,0,-ROUND(SUM(E479:M479,E480:L480)*'B. Implementation Plan'!P147,0)),0),0)</f>
        <v>0</v>
      </c>
      <c r="N480" s="347">
        <f ca="1">ROUNDUP(IF(N444&gt;0,IF(SUM(E479:N479,E480:M480)*'B. Implementation Plan'!P147&gt;P479,0,-ROUND(SUM(E479:N479,E480:M480)*'B. Implementation Plan'!P147,0)),0),0)</f>
        <v>0</v>
      </c>
      <c r="O480" s="347">
        <f ca="1">ROUNDUP(IF(O444&gt;0,IF(SUM(E479:O479,E480:N480)*'B. Implementation Plan'!P147&gt;P479,0,-ROUND(SUM(E479:O479,E480:N480)*'B. Implementation Plan'!P147,0)),0),0)</f>
        <v>0</v>
      </c>
      <c r="P480" s="354">
        <f ca="1">SUM(E480:O480)</f>
        <v>0</v>
      </c>
    </row>
    <row r="481" spans="1:16" s="365" customFormat="1" ht="15" thickBot="1" x14ac:dyDescent="0.35">
      <c r="C481" s="326" t="s">
        <v>495</v>
      </c>
      <c r="E481"/>
      <c r="F481" s="347">
        <f ca="1">IF(F444&gt;0,SUM(E479:F480),0)</f>
        <v>0</v>
      </c>
      <c r="G481" s="347">
        <f ca="1">IF(G444&gt;0,SUM(E479:G480),0)</f>
        <v>0</v>
      </c>
      <c r="H481" s="347">
        <f ca="1">IF(H444&gt;0,SUM(E479:H480),0)</f>
        <v>0</v>
      </c>
      <c r="I481" s="347">
        <f ca="1">IF(I444&gt;0,SUM(E479:I480),0)</f>
        <v>0</v>
      </c>
      <c r="J481" s="347">
        <f ca="1">IF(J444&gt;0,SUM(E479:J480),0)</f>
        <v>0</v>
      </c>
      <c r="K481" s="347">
        <f ca="1">IF(K444&gt;0,SUM(E479:K480),0)</f>
        <v>0</v>
      </c>
      <c r="L481" s="347">
        <f ca="1">IF(L444&gt;0,SUM(E479:L480),0)</f>
        <v>0</v>
      </c>
      <c r="M481" s="347">
        <f ca="1">IF(M444&gt;0,SUM(E479:M480),0)</f>
        <v>0</v>
      </c>
      <c r="N481" s="347">
        <f ca="1">IF(N444&gt;0,SUM(E479:N480),0)</f>
        <v>0</v>
      </c>
      <c r="O481" s="369">
        <f ca="1">IF(O444&gt;0,SUM(E479:O480),0)</f>
        <v>0</v>
      </c>
      <c r="P481" s="375">
        <f t="shared" ref="P481" ca="1" si="350">IF(O481=0,IF(N481=0,IF(M481=0,IF(L481=0,IF(K481=0,IF(J481=0,IF(I481=0,IF(H481=0,IF(G481=0,IF(F481=0,E481,F481),G481),H481),I481),J481),K481),L481),M481),N481),O481)</f>
        <v>0</v>
      </c>
    </row>
    <row r="482" spans="1:16" ht="16.2" thickBot="1" x14ac:dyDescent="0.35">
      <c r="C482" s="16" t="s">
        <v>496</v>
      </c>
      <c r="E482" s="149">
        <v>0</v>
      </c>
      <c r="F482" s="149">
        <v>1</v>
      </c>
      <c r="G482" s="149">
        <v>2</v>
      </c>
      <c r="H482" s="149">
        <v>3</v>
      </c>
      <c r="I482" s="149">
        <v>4</v>
      </c>
      <c r="J482" s="149">
        <v>5</v>
      </c>
      <c r="K482" s="149">
        <v>6</v>
      </c>
      <c r="L482" s="149">
        <v>7</v>
      </c>
      <c r="M482" s="149">
        <v>8</v>
      </c>
      <c r="N482" s="149">
        <v>9</v>
      </c>
      <c r="O482" s="149">
        <v>10</v>
      </c>
      <c r="P482"/>
    </row>
    <row r="483" spans="1:16" s="1" customFormat="1" x14ac:dyDescent="0.3">
      <c r="C483" s="326" t="s">
        <v>500</v>
      </c>
      <c r="E483" s="372">
        <f ca="1">ROUNDUP(E446*'B. Implementation Plan'!F169+(E444-E446)*'B. Implementation Plan'!P175,0)</f>
        <v>620</v>
      </c>
      <c r="F483" s="372">
        <f ca="1">ROUNDUP(F446*'B. Implementation Plan'!F169+(F444-F446)*'B. Implementation Plan'!P175,0)</f>
        <v>635</v>
      </c>
      <c r="G483" s="372">
        <f ca="1">ROUNDUP(G446*'B. Implementation Plan'!F169+(G444-G446)*'B. Implementation Plan'!P175,0)</f>
        <v>651</v>
      </c>
      <c r="H483" s="372">
        <f ca="1">ROUNDUP(H446*'B. Implementation Plan'!F169+(H444-H446)*'B. Implementation Plan'!P175,0)</f>
        <v>666</v>
      </c>
      <c r="I483" s="372">
        <f ca="1">ROUNDUP(I446*'B. Implementation Plan'!F169+(I444-I446)*'B. Implementation Plan'!P175,0)</f>
        <v>682</v>
      </c>
      <c r="J483" s="372">
        <f ca="1">ROUNDUP(J446*'B. Implementation Plan'!F169+(J444-J446)*'B. Implementation Plan'!P175,0)</f>
        <v>698</v>
      </c>
      <c r="K483" s="372">
        <f ca="1">ROUNDUP(K446*'B. Implementation Plan'!F169+(K444-K446)*'B. Implementation Plan'!P175,0)</f>
        <v>713</v>
      </c>
      <c r="L483" s="372">
        <f ca="1">ROUNDUP(L446*'B. Implementation Plan'!F169+(L444-L446)*'B. Implementation Plan'!P175,0)</f>
        <v>729</v>
      </c>
      <c r="M483" s="372">
        <f ca="1">ROUNDUP(M446*'B. Implementation Plan'!F169+(M444-M446)*'B. Implementation Plan'!P175,0)</f>
        <v>745</v>
      </c>
      <c r="N483" s="372">
        <f ca="1">ROUNDUP(N446*'B. Implementation Plan'!F169+(N444-N446)*'B. Implementation Plan'!P175,0)</f>
        <v>760</v>
      </c>
      <c r="O483" s="372">
        <f ca="1">ROUNDUP(O446*'B. Implementation Plan'!F169+(O444-O446)*'B. Implementation Plan'!P175,0)</f>
        <v>776</v>
      </c>
      <c r="P483" s="379">
        <f t="shared" ref="P483:P484" ca="1" si="351">IF(O483=0,IF(N483=0,IF(M483=0,IF(L483=0,IF(K483=0,IF(J483=0,IF(I483=0,IF(H483=0,IF(G483=0,IF(F483=0,E483,F483),G483),H483),I483),J483),K483),L483),M483),N483),O483)</f>
        <v>776</v>
      </c>
    </row>
    <row r="484" spans="1:16" s="1" customFormat="1" x14ac:dyDescent="0.3">
      <c r="C484" s="326" t="s">
        <v>497</v>
      </c>
      <c r="E484" s="378">
        <f t="shared" ref="E484:O484" ca="1" si="352">IF(E444&gt;0,E483/E444,0)</f>
        <v>1</v>
      </c>
      <c r="F484" s="378">
        <f t="shared" ca="1" si="352"/>
        <v>1</v>
      </c>
      <c r="G484" s="378">
        <f t="shared" ca="1" si="352"/>
        <v>1</v>
      </c>
      <c r="H484" s="378">
        <f t="shared" ca="1" si="352"/>
        <v>1</v>
      </c>
      <c r="I484" s="378">
        <f t="shared" ca="1" si="352"/>
        <v>1</v>
      </c>
      <c r="J484" s="378">
        <f t="shared" ca="1" si="352"/>
        <v>1</v>
      </c>
      <c r="K484" s="378">
        <f t="shared" ca="1" si="352"/>
        <v>1</v>
      </c>
      <c r="L484" s="378">
        <f t="shared" ca="1" si="352"/>
        <v>1</v>
      </c>
      <c r="M484" s="378">
        <f t="shared" ca="1" si="352"/>
        <v>1</v>
      </c>
      <c r="N484" s="378">
        <f t="shared" ca="1" si="352"/>
        <v>1</v>
      </c>
      <c r="O484" s="378">
        <f t="shared" ca="1" si="352"/>
        <v>1</v>
      </c>
      <c r="P484" s="111">
        <f t="shared" ca="1" si="351"/>
        <v>1</v>
      </c>
    </row>
    <row r="485" spans="1:16" s="365" customFormat="1" x14ac:dyDescent="0.3">
      <c r="C485" s="326" t="s">
        <v>498</v>
      </c>
      <c r="F485" s="372">
        <f t="shared" ref="F485:O485" ca="1" si="353">F462+F478</f>
        <v>0</v>
      </c>
      <c r="G485" s="372">
        <f t="shared" ca="1" si="353"/>
        <v>0</v>
      </c>
      <c r="H485" s="372">
        <f t="shared" ca="1" si="353"/>
        <v>0</v>
      </c>
      <c r="I485" s="372">
        <f t="shared" ca="1" si="353"/>
        <v>0</v>
      </c>
      <c r="J485" s="372">
        <f t="shared" ca="1" si="353"/>
        <v>0</v>
      </c>
      <c r="K485" s="372">
        <f t="shared" ca="1" si="353"/>
        <v>0</v>
      </c>
      <c r="L485" s="372">
        <f t="shared" ca="1" si="353"/>
        <v>0</v>
      </c>
      <c r="M485" s="372">
        <f t="shared" ca="1" si="353"/>
        <v>0</v>
      </c>
      <c r="N485" s="372">
        <f t="shared" ca="1" si="353"/>
        <v>0</v>
      </c>
      <c r="O485" s="372">
        <f t="shared" ca="1" si="353"/>
        <v>0</v>
      </c>
      <c r="P485" s="354">
        <f ca="1">MAX(F485:O485)</f>
        <v>0</v>
      </c>
    </row>
    <row r="486" spans="1:16" s="1" customFormat="1" x14ac:dyDescent="0.3">
      <c r="C486" s="326" t="s">
        <v>544</v>
      </c>
      <c r="F486" s="371">
        <f ca="1">F465+F481</f>
        <v>0</v>
      </c>
      <c r="G486" s="371">
        <f t="shared" ref="G486:O486" ca="1" si="354">G465+G481</f>
        <v>0</v>
      </c>
      <c r="H486" s="371">
        <f t="shared" ca="1" si="354"/>
        <v>0</v>
      </c>
      <c r="I486" s="371">
        <f t="shared" ca="1" si="354"/>
        <v>0</v>
      </c>
      <c r="J486" s="371">
        <f t="shared" ca="1" si="354"/>
        <v>0</v>
      </c>
      <c r="K486" s="371">
        <f t="shared" ca="1" si="354"/>
        <v>0</v>
      </c>
      <c r="L486" s="371">
        <f t="shared" ca="1" si="354"/>
        <v>0</v>
      </c>
      <c r="M486" s="371">
        <f t="shared" ca="1" si="354"/>
        <v>0</v>
      </c>
      <c r="N486" s="371">
        <f t="shared" ca="1" si="354"/>
        <v>0</v>
      </c>
      <c r="O486" s="371">
        <f t="shared" ca="1" si="354"/>
        <v>0</v>
      </c>
      <c r="P486" s="354">
        <f t="shared" ref="P486" ca="1" si="355">IF(O486=0,IF(N486=0,IF(M486=0,IF(L486=0,IF(K486=0,IF(J486=0,IF(I486=0,IF(H486=0,IF(G486=0,IF(F486=0,E486,F486),G486),H486),I486),J486),K486),L486),M486),N486),O486)</f>
        <v>0</v>
      </c>
    </row>
    <row r="487" spans="1:16" s="1" customFormat="1" ht="15" thickBot="1" x14ac:dyDescent="0.35">
      <c r="C487" s="353" t="s">
        <v>525</v>
      </c>
      <c r="E487" s="373">
        <f t="shared" ref="E487:O487" ca="1" si="356">IFERROR((E483+E486)/E444,0)</f>
        <v>1</v>
      </c>
      <c r="F487" s="373">
        <f t="shared" ca="1" si="356"/>
        <v>1</v>
      </c>
      <c r="G487" s="373">
        <f t="shared" ca="1" si="356"/>
        <v>1</v>
      </c>
      <c r="H487" s="373">
        <f t="shared" ca="1" si="356"/>
        <v>1</v>
      </c>
      <c r="I487" s="373">
        <f t="shared" ca="1" si="356"/>
        <v>1</v>
      </c>
      <c r="J487" s="373">
        <f t="shared" ca="1" si="356"/>
        <v>1</v>
      </c>
      <c r="K487" s="373">
        <f t="shared" ca="1" si="356"/>
        <v>1</v>
      </c>
      <c r="L487" s="373">
        <f t="shared" ca="1" si="356"/>
        <v>1</v>
      </c>
      <c r="M487" s="373">
        <f t="shared" ca="1" si="356"/>
        <v>1</v>
      </c>
      <c r="N487" s="373">
        <f t="shared" ca="1" si="356"/>
        <v>1</v>
      </c>
      <c r="O487" s="373">
        <f t="shared" ca="1" si="356"/>
        <v>1</v>
      </c>
      <c r="P487" s="190">
        <f t="shared" ref="P487" ca="1" si="357">IF(O487=0,IF(N487=0,IF(M487=0,IF(L487=0,IF(K487=0,IF(J487=0,IF(I487=0,IF(H487=0,IF(G487=0,IF(F487=0,E487,F487),G487),H487),I487),J487),K487),L487),M487),N487),O487)</f>
        <v>1</v>
      </c>
    </row>
    <row r="488" spans="1:16" x14ac:dyDescent="0.3">
      <c r="P488"/>
    </row>
    <row r="489" spans="1:16" ht="15" thickBot="1" x14ac:dyDescent="0.35">
      <c r="P489"/>
    </row>
    <row r="490" spans="1:16" s="67" customFormat="1" ht="15.6" x14ac:dyDescent="0.3">
      <c r="A490" s="62"/>
      <c r="B490" s="62" t="s">
        <v>535</v>
      </c>
      <c r="D490" s="65"/>
      <c r="E490" s="66">
        <v>0</v>
      </c>
      <c r="F490" s="66">
        <v>1</v>
      </c>
      <c r="G490" s="66">
        <v>2</v>
      </c>
      <c r="H490" s="66">
        <v>3</v>
      </c>
      <c r="I490" s="66">
        <v>4</v>
      </c>
      <c r="J490" s="66">
        <v>5</v>
      </c>
      <c r="K490" s="66">
        <v>6</v>
      </c>
      <c r="L490" s="66">
        <v>7</v>
      </c>
      <c r="M490" s="66">
        <v>8</v>
      </c>
      <c r="N490" s="66">
        <v>9</v>
      </c>
      <c r="O490" s="213">
        <v>10</v>
      </c>
      <c r="P490" s="351" t="s">
        <v>2</v>
      </c>
    </row>
    <row r="491" spans="1:16" x14ac:dyDescent="0.3">
      <c r="A491" s="1"/>
      <c r="B491" s="1"/>
      <c r="C491" s="326" t="s">
        <v>457</v>
      </c>
      <c r="D491" s="368"/>
      <c r="E491" s="15">
        <f ca="1">E107</f>
        <v>0</v>
      </c>
      <c r="F491" s="15">
        <f t="shared" ref="F491:O491" ca="1" si="358">F107</f>
        <v>0</v>
      </c>
      <c r="G491" s="15">
        <f t="shared" ca="1" si="358"/>
        <v>0</v>
      </c>
      <c r="H491" s="15">
        <f t="shared" ca="1" si="358"/>
        <v>0</v>
      </c>
      <c r="I491" s="15">
        <f t="shared" ca="1" si="358"/>
        <v>0</v>
      </c>
      <c r="J491" s="15">
        <f t="shared" ca="1" si="358"/>
        <v>0</v>
      </c>
      <c r="K491" s="15">
        <f t="shared" ca="1" si="358"/>
        <v>0</v>
      </c>
      <c r="L491" s="15">
        <f t="shared" ca="1" si="358"/>
        <v>0</v>
      </c>
      <c r="M491" s="15">
        <f t="shared" ca="1" si="358"/>
        <v>0</v>
      </c>
      <c r="N491" s="15">
        <f t="shared" ca="1" si="358"/>
        <v>0</v>
      </c>
      <c r="O491" s="15">
        <f t="shared" ca="1" si="358"/>
        <v>0</v>
      </c>
      <c r="P491" s="78">
        <f ca="1">IF(O491=0,IF(N491=0,IF(M491=0,IF(L491=0,IF(K491=0,IF(J491=0,IF(I491=0,IF(H491=0,IF(G491=0,IF(F491=0,E491,F491),G491),H491),I491),J491),K491),L491),M491),N491),O491)</f>
        <v>0</v>
      </c>
    </row>
    <row r="492" spans="1:16" x14ac:dyDescent="0.3">
      <c r="A492" s="1"/>
      <c r="B492" s="1"/>
      <c r="C492" s="326" t="s">
        <v>459</v>
      </c>
      <c r="D492" s="296"/>
      <c r="E492" s="15">
        <f ca="1">IF(E491&gt;0,'B. Implementation Plan'!G133,0)</f>
        <v>0</v>
      </c>
      <c r="F492" s="15">
        <f ca="1">IF(F491&gt;0,'B. Implementation Plan'!G133,0)</f>
        <v>0</v>
      </c>
      <c r="G492" s="15">
        <f ca="1">IF(G491&gt;0,'B. Implementation Plan'!G133,0)</f>
        <v>0</v>
      </c>
      <c r="H492" s="15">
        <f ca="1">IF(H491&gt;0,'B. Implementation Plan'!G133,0)</f>
        <v>0</v>
      </c>
      <c r="I492" s="15">
        <f ca="1">IF(I491&gt;0,'B. Implementation Plan'!G133,0)</f>
        <v>0</v>
      </c>
      <c r="J492" s="15">
        <f ca="1">IF(J491&gt;0,'B. Implementation Plan'!G133,0)</f>
        <v>0</v>
      </c>
      <c r="K492" s="15">
        <f ca="1">IF(K491&gt;0,'B. Implementation Plan'!G133,0)</f>
        <v>0</v>
      </c>
      <c r="L492" s="15">
        <f ca="1">IF(L491&gt;0,'B. Implementation Plan'!G133,0)</f>
        <v>0</v>
      </c>
      <c r="M492" s="15">
        <f ca="1">IF(M491&gt;0,'B. Implementation Plan'!G133,0)</f>
        <v>0</v>
      </c>
      <c r="N492" s="15">
        <f ca="1">IF(N491&gt;0,'B. Implementation Plan'!G133,0)</f>
        <v>0</v>
      </c>
      <c r="O492" s="15">
        <f ca="1">IF(O491&gt;0,'B. Implementation Plan'!G133,0)</f>
        <v>0</v>
      </c>
      <c r="P492" s="78">
        <f ca="1">IF(O492=0,IF(N492=0,IF(M492=0,IF(L492=0,IF(K492=0,IF(J492=0,IF(I492=0,IF(H492=0,IF(G492=0,IF(F492=0,E492,F492),G492),H492),I492),J492),K492),L492),M492),N492),O492)</f>
        <v>0</v>
      </c>
    </row>
    <row r="493" spans="1:16" x14ac:dyDescent="0.3">
      <c r="C493" s="59" t="s">
        <v>460</v>
      </c>
      <c r="E493" s="324">
        <f ca="1">IF(E491&gt;0,ROUND('B. Implementation Plan'!G133*(1-'B. Implementation Plan'!P147)^E490,0),0)</f>
        <v>0</v>
      </c>
      <c r="F493" s="324">
        <f ca="1">IF(F491&gt;0,ROUND('B. Implementation Plan'!G133*(1-'B. Implementation Plan'!P147)^F490,0),0)</f>
        <v>0</v>
      </c>
      <c r="G493" s="324">
        <f ca="1">IF(G491&gt;0,ROUND('B. Implementation Plan'!G133*(1-'B. Implementation Plan'!P147)^G490,0),0)</f>
        <v>0</v>
      </c>
      <c r="H493" s="324">
        <f ca="1">IF(H491&gt;0,ROUND('B. Implementation Plan'!G133*(1-'B. Implementation Plan'!P147)^H490,0),0)</f>
        <v>0</v>
      </c>
      <c r="I493" s="324">
        <f ca="1">IF(I491&gt;0,ROUND('B. Implementation Plan'!G133*(1-'B. Implementation Plan'!P147)^I490,0),0)</f>
        <v>0</v>
      </c>
      <c r="J493" s="324">
        <f ca="1">IF(J491&gt;0,ROUND('B. Implementation Plan'!G133*(1-'B. Implementation Plan'!P147)^J490,0),0)</f>
        <v>0</v>
      </c>
      <c r="K493" s="324">
        <f ca="1">IF(K491&gt;0,ROUND('B. Implementation Plan'!G133*(1-'B. Implementation Plan'!P147)^K490,0),0)</f>
        <v>0</v>
      </c>
      <c r="L493" s="324">
        <f ca="1">IF(L491&gt;0,ROUND('B. Implementation Plan'!G133*(1-'B. Implementation Plan'!P147)^L490,0),0)</f>
        <v>0</v>
      </c>
      <c r="M493" s="324">
        <f ca="1">IF(M491&gt;0,ROUND('B. Implementation Plan'!G133*(1-'B. Implementation Plan'!P147)^M490,0),0)</f>
        <v>0</v>
      </c>
      <c r="N493" s="324">
        <f ca="1">IF(N491&gt;0,ROUND('B. Implementation Plan'!G133*(1-'B. Implementation Plan'!P147)^N490,0),0)</f>
        <v>0</v>
      </c>
      <c r="O493" s="324">
        <f ca="1">IF(O491&gt;0,ROUND('B. Implementation Plan'!G133*(1-'B. Implementation Plan'!P147)^O490,0),0)</f>
        <v>0</v>
      </c>
      <c r="P493" s="78">
        <f ca="1">IF(O493=0,IF(N493=0,IF(M493=0,IF(L493=0,IF(K493=0,IF(J493=0,IF(I493=0,IF(H493=0,IF(G493=0,IF(F493=0,E493,F493),G493),H493),I493),J493),K493),L493),M493),N493),O493)</f>
        <v>0</v>
      </c>
    </row>
    <row r="494" spans="1:16" s="1" customFormat="1" x14ac:dyDescent="0.3">
      <c r="C494" s="59" t="s">
        <v>487</v>
      </c>
      <c r="E494" s="380"/>
      <c r="F494" s="324">
        <f ca="1">IF('B. Implementation Plan'!P174=0,0,IF(F490&lt;=ROUNDUP(1/'B. Implementation Plan'!P174,0),ROUND(IF(AND(F490-1/'B. Implementation Plan'!P174&lt;1,F490-1/'B. Implementation Plan'!P174&gt;0),F493*MOD(1/'B. Implementation Plan'!P174,1)/(1/'B. Implementation Plan'!P174),MIN(F493-SUM(E494:E494),F493*'B. Implementation Plan'!P174)*(1-'B. Implementation Plan'!G169)*'B. Implementation Plan'!G171),0),0))</f>
        <v>0</v>
      </c>
      <c r="G494" s="324">
        <f>IF('B. Implementation Plan'!P174=0,0,IF(G490&lt;=ROUNDUP(1/'B. Implementation Plan'!P174,0),ROUND(IF(AND(G490-1/'B. Implementation Plan'!P174&lt;1,G490-1/'B. Implementation Plan'!P174&gt;0),G493*MOD(1/'B. Implementation Plan'!P174,1)/(1/'B. Implementation Plan'!P174),MIN(G493-SUM(E494:F494),G493*'B. Implementation Plan'!P174)*(1-'B. Implementation Plan'!G169)*'B. Implementation Plan'!G171),0),0))</f>
        <v>0</v>
      </c>
      <c r="H494" s="324">
        <f>IF('B. Implementation Plan'!P174=0,0,IF(H490&lt;=ROUNDUP(1/'B. Implementation Plan'!P174,0),ROUND(IF(AND(H490-1/'B. Implementation Plan'!P174&lt;1,H490-1/'B. Implementation Plan'!P174&gt;0),H493*MOD(1/'B. Implementation Plan'!P174,1)/(1/'B. Implementation Plan'!P174),MIN(H493-SUM(E494:G494),H493*'B. Implementation Plan'!P174)*(1-'B. Implementation Plan'!G169)*'B. Implementation Plan'!G171),0),0))</f>
        <v>0</v>
      </c>
      <c r="I494" s="324">
        <f>IF('B. Implementation Plan'!P174=0,0,IF(I490&lt;=ROUNDUP(1/'B. Implementation Plan'!P174,0),ROUND(IF(AND(I490-1/'B. Implementation Plan'!P174&lt;1,I490-1/'B. Implementation Plan'!P174&gt;0),I493*MOD(1/'B. Implementation Plan'!P174,1)/(1/'B. Implementation Plan'!P174),MIN(I493-SUM(E494:H494),I493*'B. Implementation Plan'!P174)*(1-'B. Implementation Plan'!G169)*'B. Implementation Plan'!G171),0),0))</f>
        <v>0</v>
      </c>
      <c r="J494" s="324">
        <f>IF('B. Implementation Plan'!P174=0,0,IF(J490&lt;=ROUNDUP(1/'B. Implementation Plan'!P174,0),ROUND(IF(AND(J490-1/'B. Implementation Plan'!P174&lt;1,J490-1/'B. Implementation Plan'!P174&gt;0),J493*MOD(1/'B. Implementation Plan'!P174,1)/(1/'B. Implementation Plan'!P174),MIN(J493-SUM(E494:I494),J493*'B. Implementation Plan'!P174)*(1-'B. Implementation Plan'!G169)*'B. Implementation Plan'!G171),0),0))</f>
        <v>0</v>
      </c>
      <c r="K494" s="324">
        <f>IF('B. Implementation Plan'!P174=0,0,IF(K490&lt;=ROUNDUP(1/'B. Implementation Plan'!P174,0),ROUND(IF(AND(K490-1/'B. Implementation Plan'!P174&lt;1,K490-1/'B. Implementation Plan'!P174&gt;0),K493*MOD(1/'B. Implementation Plan'!P174,1)/(1/'B. Implementation Plan'!P174),MIN(K493-SUM(E494:J494),K493*'B. Implementation Plan'!P174)*(1-'B. Implementation Plan'!G169)*'B. Implementation Plan'!G171),0),0))</f>
        <v>0</v>
      </c>
      <c r="L494" s="324">
        <f>IF('B. Implementation Plan'!P174=0,0,IF(L490&lt;=ROUNDUP(1/'B. Implementation Plan'!P174,0),ROUND(IF(AND(L490-1/'B. Implementation Plan'!P174&lt;1,L490-1/'B. Implementation Plan'!P174&gt;0),L493*MOD(1/'B. Implementation Plan'!P174,1)/(1/'B. Implementation Plan'!P174),MIN(L493-SUM(E494:K494),L493*'B. Implementation Plan'!P174)*(1-'B. Implementation Plan'!G169)*'B. Implementation Plan'!G171),0),0))</f>
        <v>0</v>
      </c>
      <c r="M494" s="324">
        <f>IF('B. Implementation Plan'!P174=0,0,IF(M490&lt;=ROUNDUP(1/'B. Implementation Plan'!P174,0),ROUND(IF(AND(M490-1/'B. Implementation Plan'!P174&lt;1,M490-1/'B. Implementation Plan'!P174&gt;0),M493*MOD(1/'B. Implementation Plan'!P174,1)/(1/'B. Implementation Plan'!P174),MIN(M493-SUM(E494:L494),M493*'B. Implementation Plan'!P174)*(1-'B. Implementation Plan'!G169)*'B. Implementation Plan'!G171),0),0))</f>
        <v>0</v>
      </c>
      <c r="N494" s="324">
        <f>IF('B. Implementation Plan'!P174=0,0,IF(N490&lt;=ROUNDUP(1/'B. Implementation Plan'!P174,0),ROUND(IF(AND(N490-1/'B. Implementation Plan'!P174&lt;1,N490-1/'B. Implementation Plan'!P174&gt;0),N493*MOD(1/'B. Implementation Plan'!P174,1)/(1/'B. Implementation Plan'!P174),MIN(N493-SUM(E494:M494),N493*'B. Implementation Plan'!P174)*(1-'B. Implementation Plan'!G169)*'B. Implementation Plan'!G171),0),0))</f>
        <v>0</v>
      </c>
      <c r="O494" s="324">
        <f>IF('B. Implementation Plan'!P174=0,0,IF(O490&lt;=ROUNDUP(1/'B. Implementation Plan'!P174,0),ROUND(IF(AND(O490-1/'B. Implementation Plan'!P174&lt;1,O490-1/'B. Implementation Plan'!P174&gt;0),O493*MOD(1/'B. Implementation Plan'!P174,1)/(1/'B. Implementation Plan'!P174),MIN(O493-SUM(E494:N494),O493*'B. Implementation Plan'!P174)*(1-'B. Implementation Plan'!G169)*'B. Implementation Plan'!G171),0),0))</f>
        <v>0</v>
      </c>
      <c r="P494" s="325">
        <f ca="1">SUM(E494:O494)</f>
        <v>0</v>
      </c>
    </row>
    <row r="495" spans="1:16" x14ac:dyDescent="0.3">
      <c r="C495" s="326" t="s">
        <v>458</v>
      </c>
      <c r="E495" s="15">
        <f t="shared" ref="E495:O495" ca="1" si="359">MAX(E491-E493,0)</f>
        <v>0</v>
      </c>
      <c r="F495" s="15">
        <f t="shared" ca="1" si="359"/>
        <v>0</v>
      </c>
      <c r="G495" s="15">
        <f t="shared" ca="1" si="359"/>
        <v>0</v>
      </c>
      <c r="H495" s="15">
        <f t="shared" ca="1" si="359"/>
        <v>0</v>
      </c>
      <c r="I495" s="15">
        <f t="shared" ca="1" si="359"/>
        <v>0</v>
      </c>
      <c r="J495" s="15">
        <f t="shared" ca="1" si="359"/>
        <v>0</v>
      </c>
      <c r="K495" s="15">
        <f t="shared" ca="1" si="359"/>
        <v>0</v>
      </c>
      <c r="L495" s="15">
        <f t="shared" ca="1" si="359"/>
        <v>0</v>
      </c>
      <c r="M495" s="15">
        <f t="shared" ca="1" si="359"/>
        <v>0</v>
      </c>
      <c r="N495" s="15">
        <f t="shared" ca="1" si="359"/>
        <v>0</v>
      </c>
      <c r="O495" s="366">
        <f t="shared" ca="1" si="359"/>
        <v>0</v>
      </c>
      <c r="P495" s="354">
        <f ca="1">IF(O495=0,IF(N495=0,IF(M495=0,IF(L495=0,IF(K495=0,IF(J495=0,IF(I495=0,IF(H495=0,IF(G495=0,IF(F495=0,E495,F495),G495),H495),I495),J495),K495),L495),M495),N495),O495)</f>
        <v>0</v>
      </c>
    </row>
    <row r="496" spans="1:16" ht="15" thickBot="1" x14ac:dyDescent="0.35">
      <c r="C496" s="59" t="s">
        <v>461</v>
      </c>
      <c r="E496" s="324">
        <f ca="1">IF(E491&gt;0,E495-D495+ROUND(D495*'B. Implementation Plan'!P147,0),0)</f>
        <v>0</v>
      </c>
      <c r="F496" s="324">
        <f ca="1">IF(F491&gt;0,F495-E495+ROUND(E495*'B. Implementation Plan'!P147,0),0)</f>
        <v>0</v>
      </c>
      <c r="G496" s="324">
        <f ca="1">IF(G491&gt;0,G495-F495+ROUND(F495*'B. Implementation Plan'!P147,0),0)</f>
        <v>0</v>
      </c>
      <c r="H496" s="324">
        <f ca="1">IF(H491&gt;0,H495-G495+ROUND(G495*'B. Implementation Plan'!P147,0),0)</f>
        <v>0</v>
      </c>
      <c r="I496" s="324">
        <f ca="1">IF(I491&gt;0,I495-H495+ROUND(H495*'B. Implementation Plan'!P147,0),0)</f>
        <v>0</v>
      </c>
      <c r="J496" s="324">
        <f ca="1">IF(J491&gt;0,J495-I495+ROUND(I495*'B. Implementation Plan'!P147,0),0)</f>
        <v>0</v>
      </c>
      <c r="K496" s="324">
        <f ca="1">IF(K491&gt;0,K495-J495+ROUND(J495*'B. Implementation Plan'!P147,0),0)</f>
        <v>0</v>
      </c>
      <c r="L496" s="324">
        <f ca="1">IF(L491&gt;0,L495-K495+ROUND(K495*'B. Implementation Plan'!P147,0),0)</f>
        <v>0</v>
      </c>
      <c r="M496" s="324">
        <f ca="1">IF(M491&gt;0,M495-L495+ROUND(L495*'B. Implementation Plan'!P147,0),0)</f>
        <v>0</v>
      </c>
      <c r="N496" s="324">
        <f ca="1">IF(N491&gt;0,N495-M495+ROUND(M495*'B. Implementation Plan'!P147,0),0)</f>
        <v>0</v>
      </c>
      <c r="O496" s="367">
        <f ca="1">IF(O491&gt;0,O495-N495+ROUND(N495*'B. Implementation Plan'!P147,0),0)</f>
        <v>0</v>
      </c>
      <c r="P496" s="79">
        <f ca="1">IF(O496=0,IF(N496=0,IF(M496=0,IF(L496=0,IF(K496=0,IF(J496=0,IF(I496=0,IF(H496=0,IF(G496=0,IF(F496=0,E496,F496),G496),H496),I496),J496),K496),L496),M496),N496),O496)</f>
        <v>0</v>
      </c>
    </row>
    <row r="497" spans="3:16" ht="15" thickBot="1" x14ac:dyDescent="0.35">
      <c r="C497" s="59" t="s">
        <v>485</v>
      </c>
    </row>
    <row r="498" spans="3:16" ht="15.6" x14ac:dyDescent="0.3">
      <c r="C498" s="326" t="s">
        <v>481</v>
      </c>
      <c r="F498" s="149">
        <v>1</v>
      </c>
      <c r="G498" s="149">
        <v>2</v>
      </c>
      <c r="H498" s="149">
        <v>3</v>
      </c>
      <c r="I498" s="149">
        <v>4</v>
      </c>
      <c r="J498" s="149">
        <v>5</v>
      </c>
      <c r="K498" s="149">
        <v>6</v>
      </c>
      <c r="L498" s="149">
        <v>7</v>
      </c>
      <c r="M498" s="149">
        <v>8</v>
      </c>
      <c r="N498" s="149">
        <v>9</v>
      </c>
      <c r="O498" s="374">
        <v>10</v>
      </c>
      <c r="P498" s="351" t="s">
        <v>2</v>
      </c>
    </row>
    <row r="499" spans="3:16" s="365" customFormat="1" x14ac:dyDescent="0.3">
      <c r="C499" s="370">
        <v>1</v>
      </c>
      <c r="E499"/>
      <c r="F499" s="347">
        <f>IF($C499&lt;=ROUNDUP('B. Implementation Plan'!P177,0),ROUND(IF(AND($C499-'B. Implementation Plan'!P177&lt;1,$C499-'B. Implementation Plan'!P177&gt;0),MOD('B. Implementation Plan'!P177,1)*F494*1*(1-'B. Implementation Plan'!P147)^($C499-1),F494*1*(1-'B. Implementation Plan'!P147)^($C499-1)),0),0)</f>
        <v>0</v>
      </c>
      <c r="G499" s="347">
        <f>IF($C499&lt;=ROUNDUP('B. Implementation Plan'!P177,0),ROUND(IF(AND($C499-'B. Implementation Plan'!P177&lt;1,$C499-'B. Implementation Plan'!P177&gt;0),MOD('B. Implementation Plan'!P177,1)*G494*1*(1-'B. Implementation Plan'!P147)^($C499-1),G494*1*(1-'B. Implementation Plan'!P147)^($C499-1)),0),0)</f>
        <v>0</v>
      </c>
      <c r="H499" s="347">
        <f>IF($C499&lt;=ROUNDUP('B. Implementation Plan'!P177,0),ROUND(IF(AND($C499-'B. Implementation Plan'!P177&lt;1,$C499-'B. Implementation Plan'!P177&gt;0),MOD('B. Implementation Plan'!P177,1)*H494*1*(1-'B. Implementation Plan'!P147)^($C499-1),H494*1*(1-'B. Implementation Plan'!P147)^($C499-1)),0),0)</f>
        <v>0</v>
      </c>
      <c r="I499" s="347">
        <f>IF($C499&lt;=ROUNDUP('B. Implementation Plan'!P177,0),ROUND(IF(AND($C499-'B. Implementation Plan'!P177&lt;1,$C499-'B. Implementation Plan'!P177&gt;0),MOD('B. Implementation Plan'!P177,1)*I494*1*(1-'B. Implementation Plan'!P147)^($C499-1),I494*1*(1-'B. Implementation Plan'!P147)^($C499-1)),0),0)</f>
        <v>0</v>
      </c>
      <c r="J499" s="347">
        <f>IF($C499&lt;=ROUNDUP('B. Implementation Plan'!P177,0),ROUND(IF(AND($C499-'B. Implementation Plan'!P177&lt;1,$C499-'B. Implementation Plan'!P177&gt;0),MOD('B. Implementation Plan'!P177,1)*J494*1*(1-'B. Implementation Plan'!P147)^($C499-1),J494*1*(1-'B. Implementation Plan'!P147)^($C499-1)),0),0)</f>
        <v>0</v>
      </c>
      <c r="K499" s="347">
        <f>IF($C499&lt;=ROUNDUP('B. Implementation Plan'!P177,0),ROUND(IF(AND($C499-'B. Implementation Plan'!P177&lt;1,$C499-'B. Implementation Plan'!P177&gt;0),MOD('B. Implementation Plan'!P177,1)*K494*1*(1-'B. Implementation Plan'!P147)^($C499-1),K494*1*(1-'B. Implementation Plan'!P147)^($C499-1)),0),0)</f>
        <v>0</v>
      </c>
      <c r="L499" s="347">
        <f>IF($C499&lt;=ROUNDUP('B. Implementation Plan'!P177,0),ROUND(IF(AND($C499-'B. Implementation Plan'!P177&lt;1,$C499-'B. Implementation Plan'!P177&gt;0),MOD('B. Implementation Plan'!P177,1)*L494*1*(1-'B. Implementation Plan'!P147)^($C499-1),L494*1*(1-'B. Implementation Plan'!P147)^($C499-1)),0),0)</f>
        <v>0</v>
      </c>
      <c r="M499" s="347">
        <f>IF($C499&lt;=ROUNDUP('B. Implementation Plan'!P177,0),ROUND(IF(AND($C499-'B. Implementation Plan'!P177&lt;1,$C499-'B. Implementation Plan'!P177&gt;0),MOD('B. Implementation Plan'!P177,1)*M494*1*(1-'B. Implementation Plan'!P147)^($C499-1),M494*1*(1-'B. Implementation Plan'!P147)^($C499-1)),0),0)</f>
        <v>0</v>
      </c>
      <c r="N499" s="347">
        <f>IF($C499&lt;=ROUNDUP('B. Implementation Plan'!P177,0),ROUND(IF(AND($C499-'B. Implementation Plan'!P177&lt;1,$C499-'B. Implementation Plan'!P177&gt;0),MOD('B. Implementation Plan'!P177,1)*N494*1*(1-'B. Implementation Plan'!P147)^($C499-1),N494*1*(1-'B. Implementation Plan'!P147)^($C499-1)),0),0)</f>
        <v>0</v>
      </c>
      <c r="O499" s="347">
        <f>IF($C499&lt;=ROUNDUP('B. Implementation Plan'!P177,0),ROUND(IF(AND($C499-'B. Implementation Plan'!P177&lt;1,$C499-'B. Implementation Plan'!P177&gt;0),MOD('B. Implementation Plan'!P177,1)*O494*1*(1-'B. Implementation Plan'!P147)^($C499-1),O494*1*(1-'B. Implementation Plan'!P147)^($C499-1)),0),0)</f>
        <v>0</v>
      </c>
      <c r="P499" s="78" t="str">
        <f>IF(SUM(F499:O499)&gt;0,SUM(F499:O499),"")</f>
        <v/>
      </c>
    </row>
    <row r="500" spans="3:16" s="365" customFormat="1" x14ac:dyDescent="0.3">
      <c r="C500" s="370">
        <v>2</v>
      </c>
      <c r="E500"/>
      <c r="F500"/>
      <c r="G500" s="347">
        <f>IF($C500&lt;=ROUNDUP('B. Implementation Plan'!P177,0),ROUND(IF(AND($C500-'B. Implementation Plan'!P177&lt;1,$C500-'B. Implementation Plan'!P177&gt;0),MOD('B. Implementation Plan'!P177,1)*F494*1*(1-'B. Implementation Plan'!P147)^($C500-1),F494*1*(1-'B. Implementation Plan'!P147)^($C500-1)),0),0)</f>
        <v>0</v>
      </c>
      <c r="H500" s="347">
        <f>IF($C500&lt;=ROUNDUP('B. Implementation Plan'!P177,0),ROUND(IF(AND($C500-'B. Implementation Plan'!P177&lt;1,$C500-'B. Implementation Plan'!P177&gt;0),MOD('B. Implementation Plan'!P177,1)*G494*1*(1-'B. Implementation Plan'!P147)^($C500-1),G494*1*(1-'B. Implementation Plan'!P147)^($C500-1)),0),0)</f>
        <v>0</v>
      </c>
      <c r="I500" s="347">
        <f>IF($C500&lt;=ROUNDUP('B. Implementation Plan'!P177,0),ROUND(IF(AND($C500-'B. Implementation Plan'!P177&lt;1,$C500-'B. Implementation Plan'!P177&gt;0),MOD('B. Implementation Plan'!P177,1)*H494*1*(1-'B. Implementation Plan'!P147)^($C500-1),H494*1*(1-'B. Implementation Plan'!P147)^($C500-1)),0),0)</f>
        <v>0</v>
      </c>
      <c r="J500" s="347">
        <f>IF($C500&lt;=ROUNDUP('B. Implementation Plan'!P177,0),ROUND(IF(AND($C500-'B. Implementation Plan'!P177&lt;1,$C500-'B. Implementation Plan'!P177&gt;0),MOD('B. Implementation Plan'!P177,1)*I494*1*(1-'B. Implementation Plan'!P147)^($C500-1),I494*1*(1-'B. Implementation Plan'!P147)^($C500-1)),0),0)</f>
        <v>0</v>
      </c>
      <c r="K500" s="347">
        <f>IF($C500&lt;=ROUNDUP('B. Implementation Plan'!P177,0),ROUND(IF(AND($C500-'B. Implementation Plan'!P177&lt;1,$C500-'B. Implementation Plan'!P177&gt;0),MOD('B. Implementation Plan'!P177,1)*J494*1*(1-'B. Implementation Plan'!P147)^($C500-1),J494*1*(1-'B. Implementation Plan'!P147)^($C500-1)),0),0)</f>
        <v>0</v>
      </c>
      <c r="L500" s="347">
        <f>IF($C500&lt;=ROUNDUP('B. Implementation Plan'!P177,0),ROUND(IF(AND($C500-'B. Implementation Plan'!P177&lt;1,$C500-'B. Implementation Plan'!P177&gt;0),MOD('B. Implementation Plan'!P177,1)*K494*1*(1-'B. Implementation Plan'!P147)^($C500-1),K494*1*(1-'B. Implementation Plan'!P147)^($C500-1)),0),0)</f>
        <v>0</v>
      </c>
      <c r="M500" s="347">
        <f>IF($C500&lt;=ROUNDUP('B. Implementation Plan'!P177,0),ROUND(IF(AND($C500-'B. Implementation Plan'!P177&lt;1,$C500-'B. Implementation Plan'!P177&gt;0),MOD('B. Implementation Plan'!P177,1)*L494*1*(1-'B. Implementation Plan'!P147)^($C500-1),L494*1*(1-'B. Implementation Plan'!P147)^($C500-1)),0),0)</f>
        <v>0</v>
      </c>
      <c r="N500" s="347">
        <f>IF($C500&lt;=ROUNDUP('B. Implementation Plan'!P177,0),ROUND(IF(AND($C500-'B. Implementation Plan'!P177&lt;1,$C500-'B. Implementation Plan'!P177&gt;0),MOD('B. Implementation Plan'!P177,1)*M494*1*(1-'B. Implementation Plan'!P147)^($C500-1),M494*1*(1-'B. Implementation Plan'!P147)^($C500-1)),0),0)</f>
        <v>0</v>
      </c>
      <c r="O500" s="347">
        <f>IF($C500&lt;=ROUNDUP('B. Implementation Plan'!P177,0),ROUND(IF(AND($C500-'B. Implementation Plan'!P177&lt;1,$C500-'B. Implementation Plan'!P177&gt;0),MOD('B. Implementation Plan'!P177,1)*N494*1*(1-'B. Implementation Plan'!P147)^($C500-1),N494*1*(1-'B. Implementation Plan'!P147)^($C500-1)),0),0)</f>
        <v>0</v>
      </c>
      <c r="P500" s="78" t="str">
        <f t="shared" ref="P500:P508" si="360">IF(SUM(F500:O500)&gt;0,SUM(F500:O500),"")</f>
        <v/>
      </c>
    </row>
    <row r="501" spans="3:16" s="365" customFormat="1" x14ac:dyDescent="0.3">
      <c r="C501" s="370">
        <v>3</v>
      </c>
      <c r="E501"/>
      <c r="F501"/>
      <c r="G501"/>
      <c r="H501" s="347">
        <f>IF($C501&lt;=ROUNDUP('B. Implementation Plan'!P177,0),ROUND(IF(AND($C501-'B. Implementation Plan'!P177&lt;1,$C501-'B. Implementation Plan'!P177&gt;0),MOD('B. Implementation Plan'!P177,1)*F494*1*(1-'B. Implementation Plan'!P147)^($C501-1),F494*1*(1-'B. Implementation Plan'!P147)^($C501-1)),0),0)</f>
        <v>0</v>
      </c>
      <c r="I501" s="347">
        <f>IF($C501&lt;=ROUNDUP('B. Implementation Plan'!P177,0),ROUND(IF(AND($C501-'B. Implementation Plan'!P177&lt;1,$C501-'B. Implementation Plan'!P177&gt;0),MOD('B. Implementation Plan'!P177,1)*G494*1*(1-'B. Implementation Plan'!P147)^($C501-1),G494*1*(1-'B. Implementation Plan'!P147)^($C501-1)),0),0)</f>
        <v>0</v>
      </c>
      <c r="J501" s="347">
        <f>IF($C501&lt;=ROUNDUP('B. Implementation Plan'!P177,0),ROUND(IF(AND($C501-'B. Implementation Plan'!P177&lt;1,$C501-'B. Implementation Plan'!P177&gt;0),MOD('B. Implementation Plan'!P177,1)*H494*1*(1-'B. Implementation Plan'!P147)^($C501-1),H494*1*(1-'B. Implementation Plan'!P147)^($C501-1)),0),0)</f>
        <v>0</v>
      </c>
      <c r="K501" s="347">
        <f>IF($C501&lt;=ROUNDUP('B. Implementation Plan'!P177,0),ROUND(IF(AND($C501-'B. Implementation Plan'!P177&lt;1,$C501-'B. Implementation Plan'!P177&gt;0),MOD('B. Implementation Plan'!P177,1)*I494*1*(1-'B. Implementation Plan'!P147)^($C501-1),I494*1*(1-'B. Implementation Plan'!P147)^($C501-1)),0),0)</f>
        <v>0</v>
      </c>
      <c r="L501" s="347">
        <f>IF($C501&lt;=ROUNDUP('B. Implementation Plan'!P177,0),ROUND(IF(AND($C501-'B. Implementation Plan'!P177&lt;1,$C501-'B. Implementation Plan'!P177&gt;0),MOD('B. Implementation Plan'!P177,1)*J494*1*(1-'B. Implementation Plan'!P147)^($C501-1),J494*1*(1-'B. Implementation Plan'!P147)^($C501-1)),0),0)</f>
        <v>0</v>
      </c>
      <c r="M501" s="347">
        <f>IF($C501&lt;=ROUNDUP('B. Implementation Plan'!P177,0),ROUND(IF(AND($C501-'B. Implementation Plan'!P177&lt;1,$C501-'B. Implementation Plan'!P177&gt;0),MOD('B. Implementation Plan'!P177,1)*K494*1*(1-'B. Implementation Plan'!P147)^($C501-1),K494*1*(1-'B. Implementation Plan'!P147)^($C501-1)),0),0)</f>
        <v>0</v>
      </c>
      <c r="N501" s="347">
        <f>IF($C501&lt;=ROUNDUP('B. Implementation Plan'!P177,0),ROUND(IF(AND($C501-'B. Implementation Plan'!P177&lt;1,$C501-'B. Implementation Plan'!P177&gt;0),MOD('B. Implementation Plan'!P177,1)*L494*1*(1-'B. Implementation Plan'!P147)^($C501-1),L494*1*(1-'B. Implementation Plan'!P147)^($C501-1)),0),0)</f>
        <v>0</v>
      </c>
      <c r="O501" s="347">
        <f>IF($C501&lt;=ROUNDUP('B. Implementation Plan'!P177,0),ROUND(IF(AND($C501-'B. Implementation Plan'!P177&lt;1,$C501-'B. Implementation Plan'!P177&gt;0),MOD('B. Implementation Plan'!P177,1)*M494*1*(1-'B. Implementation Plan'!P147)^($C501-1),M494*1*(1-'B. Implementation Plan'!P147)^($C501-1)),0),0)</f>
        <v>0</v>
      </c>
      <c r="P501" s="78" t="str">
        <f t="shared" si="360"/>
        <v/>
      </c>
    </row>
    <row r="502" spans="3:16" s="365" customFormat="1" x14ac:dyDescent="0.3">
      <c r="C502" s="370">
        <v>4</v>
      </c>
      <c r="E502"/>
      <c r="F502"/>
      <c r="G502"/>
      <c r="H502"/>
      <c r="I502" s="347">
        <f>IF($C502&lt;=ROUNDUP('B. Implementation Plan'!P177,0),ROUND(IF(AND($C502-'B. Implementation Plan'!P177&lt;1,$C502-'B. Implementation Plan'!P177&gt;0),MOD('B. Implementation Plan'!P177,1)*F494*1*(1-'B. Implementation Plan'!P147)^($C502-1),F494*1*(1-'B. Implementation Plan'!P147)^($C502-1)),0),0)</f>
        <v>0</v>
      </c>
      <c r="J502" s="347">
        <f>IF($C502&lt;=ROUNDUP('B. Implementation Plan'!P177,0),ROUND(IF(AND($C502-'B. Implementation Plan'!P177&lt;1,$C502-'B. Implementation Plan'!P177&gt;0),MOD('B. Implementation Plan'!P177,1)*G494*1*(1-'B. Implementation Plan'!P147)^($C502-1),G494*1*(1-'B. Implementation Plan'!P147)^($C502-1)),0),0)</f>
        <v>0</v>
      </c>
      <c r="K502" s="347">
        <f>IF($C502&lt;=ROUNDUP('B. Implementation Plan'!P177,0),ROUND(IF(AND($C502-'B. Implementation Plan'!P177&lt;1,$C502-'B. Implementation Plan'!P177&gt;0),MOD('B. Implementation Plan'!P177,1)*H494*1*(1-'B. Implementation Plan'!P147)^($C502-1),H494*1*(1-'B. Implementation Plan'!P147)^($C502-1)),0),0)</f>
        <v>0</v>
      </c>
      <c r="L502" s="347">
        <f>IF($C502&lt;=ROUNDUP('B. Implementation Plan'!P177,0),ROUND(IF(AND($C502-'B. Implementation Plan'!P177&lt;1,$C502-'B. Implementation Plan'!P177&gt;0),MOD('B. Implementation Plan'!P177,1)*I494*1*(1-'B. Implementation Plan'!P147)^($C502-1),I494*1*(1-'B. Implementation Plan'!P147)^($C502-1)),0),0)</f>
        <v>0</v>
      </c>
      <c r="M502" s="347">
        <f>IF($C502&lt;=ROUNDUP('B. Implementation Plan'!P177,0),ROUND(IF(AND($C502-'B. Implementation Plan'!P177&lt;1,$C502-'B. Implementation Plan'!P177&gt;0),MOD('B. Implementation Plan'!P177,1)*J494*1*(1-'B. Implementation Plan'!P147)^($C502-1),J494*1*(1-'B. Implementation Plan'!P147)^($C502-1)),0),0)</f>
        <v>0</v>
      </c>
      <c r="N502" s="347">
        <f>IF($C502&lt;=ROUNDUP('B. Implementation Plan'!P177,0),ROUND(IF(AND($C502-'B. Implementation Plan'!P177&lt;1,$C502-'B. Implementation Plan'!P177&gt;0),MOD('B. Implementation Plan'!P177,1)*K494*1*(1-'B. Implementation Plan'!P147)^($C502-1),K494*1*(1-'B. Implementation Plan'!P147)^($C502-1)),0),0)</f>
        <v>0</v>
      </c>
      <c r="O502" s="347">
        <f>IF($C502&lt;=ROUNDUP('B. Implementation Plan'!P177,0),ROUND(IF(AND($C502-'B. Implementation Plan'!P177&lt;1,$C502-'B. Implementation Plan'!P177&gt;0),MOD('B. Implementation Plan'!P177,1)*L494*1*(1-'B. Implementation Plan'!P147)^($C502-1),L494*1*(1-'B. Implementation Plan'!P147)^($C502-1)),0),0)</f>
        <v>0</v>
      </c>
      <c r="P502" s="78" t="str">
        <f t="shared" si="360"/>
        <v/>
      </c>
    </row>
    <row r="503" spans="3:16" s="365" customFormat="1" x14ac:dyDescent="0.3">
      <c r="C503" s="370">
        <v>5</v>
      </c>
      <c r="E503"/>
      <c r="F503"/>
      <c r="G503"/>
      <c r="H503"/>
      <c r="I503"/>
      <c r="J503" s="347">
        <f>IF($C503&lt;=ROUNDUP('B. Implementation Plan'!P177,0),ROUND(IF(AND($C503-'B. Implementation Plan'!P177&lt;1,$C503-'B. Implementation Plan'!P177&gt;0),MOD('B. Implementation Plan'!P177,1)*F494*1*(1-'B. Implementation Plan'!P147)^($C503-1),F494*1*(1-'B. Implementation Plan'!P147)^($C503-1)),0),0)</f>
        <v>0</v>
      </c>
      <c r="K503" s="347">
        <f>IF($C503&lt;=ROUNDUP('B. Implementation Plan'!P177,0),ROUND(IF(AND($C503-'B. Implementation Plan'!P177&lt;1,$C503-'B. Implementation Plan'!P177&gt;0),MOD('B. Implementation Plan'!P177,1)*G494*1*(1-'B. Implementation Plan'!P147)^($C503-1),G494*1*(1-'B. Implementation Plan'!P147)^($C503-1)),0),0)</f>
        <v>0</v>
      </c>
      <c r="L503" s="347">
        <f>IF($C503&lt;=ROUNDUP('B. Implementation Plan'!P177,0),ROUND(IF(AND($C503-'B. Implementation Plan'!P177&lt;1,$C503-'B. Implementation Plan'!P177&gt;0),MOD('B. Implementation Plan'!P177,1)*H494*1*(1-'B. Implementation Plan'!P147)^($C503-1),H494*1*(1-'B. Implementation Plan'!P147)^($C503-1)),0),0)</f>
        <v>0</v>
      </c>
      <c r="M503" s="347">
        <f>IF($C503&lt;=ROUNDUP('B. Implementation Plan'!P177,0),ROUND(IF(AND($C503-'B. Implementation Plan'!P177&lt;1,$C503-'B. Implementation Plan'!P177&gt;0),MOD('B. Implementation Plan'!P177,1)*I494*1*(1-'B. Implementation Plan'!P147)^($C503-1),I494*1*(1-'B. Implementation Plan'!P147)^($C503-1)),0),0)</f>
        <v>0</v>
      </c>
      <c r="N503" s="347">
        <f>IF($C503&lt;=ROUNDUP('B. Implementation Plan'!P177,0),ROUND(IF(AND($C503-'B. Implementation Plan'!P177&lt;1,$C503-'B. Implementation Plan'!P177&gt;0),MOD('B. Implementation Plan'!P177,1)*J494*1*(1-'B. Implementation Plan'!P147)^($C503-1),J494*1*(1-'B. Implementation Plan'!P147)^($C503-1)),0),0)</f>
        <v>0</v>
      </c>
      <c r="O503" s="347">
        <f>IF($C503&lt;=ROUNDUP('B. Implementation Plan'!P177,0),ROUND(IF(AND($C503-'B. Implementation Plan'!P177&lt;1,$C503-'B. Implementation Plan'!P177&gt;0),MOD('B. Implementation Plan'!P177,1)*K494*1*(1-'B. Implementation Plan'!P147)^($C503-1),K494*1*(1-'B. Implementation Plan'!P147)^($C503-1)),0),0)</f>
        <v>0</v>
      </c>
      <c r="P503" s="78" t="str">
        <f t="shared" si="360"/>
        <v/>
      </c>
    </row>
    <row r="504" spans="3:16" s="365" customFormat="1" x14ac:dyDescent="0.3">
      <c r="C504" s="370">
        <v>6</v>
      </c>
      <c r="E504"/>
      <c r="F504"/>
      <c r="G504"/>
      <c r="H504"/>
      <c r="I504"/>
      <c r="J504"/>
      <c r="K504" s="347">
        <f>IF($C504&lt;=ROUNDUP('B. Implementation Plan'!P177,0),ROUND(IF(AND($C504-'B. Implementation Plan'!P177&lt;1,$C504-'B. Implementation Plan'!P177&gt;0),MOD('B. Implementation Plan'!P177,1)*F494*1*(1-'B. Implementation Plan'!P147)^($C504-1),F494*1*(1-'B. Implementation Plan'!P147)^($C504-1)),0),0)</f>
        <v>0</v>
      </c>
      <c r="L504" s="347">
        <f>IF($C504&lt;=ROUNDUP('B. Implementation Plan'!P177,0),ROUND(IF(AND($C504-'B. Implementation Plan'!P177&lt;1,$C504-'B. Implementation Plan'!P177&gt;0),MOD('B. Implementation Plan'!P177,1)*G494*1*(1-'B. Implementation Plan'!P147)^($C504-1),G494*1*(1-'B. Implementation Plan'!P147)^($C504-1)),0),0)</f>
        <v>0</v>
      </c>
      <c r="M504" s="347">
        <f>IF($C504&lt;=ROUNDUP('B. Implementation Plan'!P177,0),ROUND(IF(AND($C504-'B. Implementation Plan'!P177&lt;1,$C504-'B. Implementation Plan'!P177&gt;0),MOD('B. Implementation Plan'!P177,1)*H494*1*(1-'B. Implementation Plan'!P147)^($C504-1),H494*1*(1-'B. Implementation Plan'!P147)^($C504-1)),0),0)</f>
        <v>0</v>
      </c>
      <c r="N504" s="347">
        <f>IF($C504&lt;=ROUNDUP('B. Implementation Plan'!P177,0),ROUND(IF(AND($C504-'B. Implementation Plan'!P177&lt;1,$C504-'B. Implementation Plan'!P177&gt;0),MOD('B. Implementation Plan'!P177,1)*I494*1*(1-'B. Implementation Plan'!P147)^($C504-1),I494*1*(1-'B. Implementation Plan'!P147)^($C504-1)),0),0)</f>
        <v>0</v>
      </c>
      <c r="O504" s="347">
        <f>IF($C504&lt;=ROUNDUP('B. Implementation Plan'!P177,0),ROUND(IF(AND($C504-'B. Implementation Plan'!P177&lt;1,$C504-'B. Implementation Plan'!P177&gt;0),MOD('B. Implementation Plan'!P177,1)*J494*1*(1-'B. Implementation Plan'!P147)^($C504-1),J494*1*(1-'B. Implementation Plan'!P147)^($C504-1)),0),0)</f>
        <v>0</v>
      </c>
      <c r="P504" s="78" t="str">
        <f t="shared" si="360"/>
        <v/>
      </c>
    </row>
    <row r="505" spans="3:16" s="365" customFormat="1" x14ac:dyDescent="0.3">
      <c r="C505" s="370">
        <v>7</v>
      </c>
      <c r="E505"/>
      <c r="F505"/>
      <c r="G505"/>
      <c r="H505"/>
      <c r="I505"/>
      <c r="J505"/>
      <c r="K505"/>
      <c r="L505" s="347">
        <f>IF($C505&lt;=ROUNDUP('B. Implementation Plan'!P177,0),ROUND(IF(AND($C505-'B. Implementation Plan'!P177&lt;1,$C505-'B. Implementation Plan'!P177&gt;0),MOD('B. Implementation Plan'!P177,1)*F494*1*(1-'B. Implementation Plan'!P147)^($C505-1),F494*1*(1-'B. Implementation Plan'!P147)^($C505-1)),0),0)</f>
        <v>0</v>
      </c>
      <c r="M505" s="347">
        <f>IF($C505&lt;=ROUNDUP('B. Implementation Plan'!P177,0),ROUND(IF(AND($C505-'B. Implementation Plan'!P177&lt;1,$C505-'B. Implementation Plan'!P177&gt;0),MOD('B. Implementation Plan'!P177,1)*G494*1*(1-'B. Implementation Plan'!P147)^($C505-1),G494*1*(1-'B. Implementation Plan'!P147)^($C505-1)),0),0)</f>
        <v>0</v>
      </c>
      <c r="N505" s="347">
        <f>IF($C505&lt;=ROUNDUP('B. Implementation Plan'!P177,0),ROUND(IF(AND($C505-'B. Implementation Plan'!P177&lt;1,$C505-'B. Implementation Plan'!P177&gt;0),MOD('B. Implementation Plan'!P177,1)*H494*1*(1-'B. Implementation Plan'!P147)^($C505-1),H494*1*(1-'B. Implementation Plan'!P147)^($C505-1)),0),0)</f>
        <v>0</v>
      </c>
      <c r="O505" s="347">
        <f>IF($C505&lt;=ROUNDUP('B. Implementation Plan'!P177,0),ROUND(IF(AND($C505-'B. Implementation Plan'!P177&lt;1,$C505-'B. Implementation Plan'!P177&gt;0),MOD('B. Implementation Plan'!P177,1)*I494*1*(1-'B. Implementation Plan'!P147)^($C505-1),I494*1*(1-'B. Implementation Plan'!P147)^($C505-1)),0),0)</f>
        <v>0</v>
      </c>
      <c r="P505" s="78" t="str">
        <f t="shared" si="360"/>
        <v/>
      </c>
    </row>
    <row r="506" spans="3:16" s="365" customFormat="1" x14ac:dyDescent="0.3">
      <c r="C506" s="370">
        <v>8</v>
      </c>
      <c r="E506"/>
      <c r="F506"/>
      <c r="G506"/>
      <c r="H506"/>
      <c r="I506"/>
      <c r="J506"/>
      <c r="K506"/>
      <c r="L506"/>
      <c r="M506" s="347">
        <f>IF($C506&lt;=ROUNDUP('B. Implementation Plan'!P177,0),ROUND(IF(AND($C506-'B. Implementation Plan'!P177&lt;1,$C506-'B. Implementation Plan'!P177&gt;0),MOD('B. Implementation Plan'!P177,1)*F494*1*(1-'B. Implementation Plan'!P147)^($C506-1),F494*1*(1-'B. Implementation Plan'!P147)^($C506-1)),0),0)</f>
        <v>0</v>
      </c>
      <c r="N506" s="347">
        <f>IF($C506&lt;=ROUNDUP('B. Implementation Plan'!P177,0),ROUND(IF(AND($C506-'B. Implementation Plan'!P177&lt;1,$C506-'B. Implementation Plan'!P177&gt;0),MOD('B. Implementation Plan'!P177,1)*G494*1*(1-'B. Implementation Plan'!P147)^($C506-1),G494*1*(1-'B. Implementation Plan'!P147)^($C506-1)),0),0)</f>
        <v>0</v>
      </c>
      <c r="O506" s="347">
        <f>IF($C506&lt;=ROUNDUP('B. Implementation Plan'!P177,0),ROUND(IF(AND($C506-'B. Implementation Plan'!P177&lt;1,$C506-'B. Implementation Plan'!P177&gt;0),MOD('B. Implementation Plan'!P177,1)*H494*1*(1-'B. Implementation Plan'!P147)^($C506-1),H494*1*(1-'B. Implementation Plan'!P147)^($C506-1)),0),0)</f>
        <v>0</v>
      </c>
      <c r="P506" s="78" t="str">
        <f t="shared" si="360"/>
        <v/>
      </c>
    </row>
    <row r="507" spans="3:16" s="365" customFormat="1" x14ac:dyDescent="0.3">
      <c r="C507" s="370">
        <v>9</v>
      </c>
      <c r="E507"/>
      <c r="F507"/>
      <c r="G507"/>
      <c r="H507"/>
      <c r="I507"/>
      <c r="J507"/>
      <c r="K507"/>
      <c r="L507"/>
      <c r="M507"/>
      <c r="N507" s="347">
        <f>IF($C507&lt;=ROUNDUP('B. Implementation Plan'!P177,0),ROUND(IF(AND($C507-'B. Implementation Plan'!P177&lt;1,$C507-'B. Implementation Plan'!P177&gt;0),MOD('B. Implementation Plan'!P177,1)*F494*1*(1-'B. Implementation Plan'!P147)^($C507-1),F494*1*(1-'B. Implementation Plan'!P147)^($C507-1)),0),0)</f>
        <v>0</v>
      </c>
      <c r="O507" s="347">
        <f>IF($C507&lt;=ROUNDUP('B. Implementation Plan'!P177,0),ROUND(IF(AND($C507-'B. Implementation Plan'!P177&lt;1,$C507-'B. Implementation Plan'!P177&gt;0),MOD('B. Implementation Plan'!P177,1)*G494*1*(1-'B. Implementation Plan'!P147)^($C507-1),G494*1*(1-'B. Implementation Plan'!P147)^($C507-1)),0),0)</f>
        <v>0</v>
      </c>
      <c r="P507" s="78" t="str">
        <f t="shared" si="360"/>
        <v/>
      </c>
    </row>
    <row r="508" spans="3:16" s="365" customFormat="1" x14ac:dyDescent="0.3">
      <c r="C508" s="370">
        <v>10</v>
      </c>
      <c r="E508"/>
      <c r="F508"/>
      <c r="G508"/>
      <c r="H508"/>
      <c r="I508"/>
      <c r="J508"/>
      <c r="K508"/>
      <c r="L508"/>
      <c r="M508"/>
      <c r="N508" s="19"/>
      <c r="O508" s="347">
        <f>IF($C508&lt;=ROUNDUP('B. Implementation Plan'!P177,0),ROUND(IF(AND($C508-'B. Implementation Plan'!P177&lt;1,$C508-'B. Implementation Plan'!P177&gt;0),MOD('B. Implementation Plan'!P177,1)*F494*1*(1-'B. Implementation Plan'!P147)^($C508-1),F494*1*(1-'B. Implementation Plan'!P147)^($C508-1)),0),0)</f>
        <v>0</v>
      </c>
      <c r="P508" s="78" t="str">
        <f t="shared" si="360"/>
        <v/>
      </c>
    </row>
    <row r="509" spans="3:16" s="1" customFormat="1" x14ac:dyDescent="0.3">
      <c r="C509" s="376" t="s">
        <v>488</v>
      </c>
      <c r="E509"/>
      <c r="F509" s="371">
        <f t="shared" ref="F509:O509" ca="1" si="361">IF(F491&gt;0,SUM(F499:F508),0)</f>
        <v>0</v>
      </c>
      <c r="G509" s="371">
        <f t="shared" ca="1" si="361"/>
        <v>0</v>
      </c>
      <c r="H509" s="371">
        <f t="shared" ca="1" si="361"/>
        <v>0</v>
      </c>
      <c r="I509" s="371">
        <f t="shared" ca="1" si="361"/>
        <v>0</v>
      </c>
      <c r="J509" s="371">
        <f t="shared" ca="1" si="361"/>
        <v>0</v>
      </c>
      <c r="K509" s="371">
        <f t="shared" ca="1" si="361"/>
        <v>0</v>
      </c>
      <c r="L509" s="371">
        <f t="shared" ca="1" si="361"/>
        <v>0</v>
      </c>
      <c r="M509" s="371">
        <f t="shared" ca="1" si="361"/>
        <v>0</v>
      </c>
      <c r="N509" s="371">
        <f t="shared" ca="1" si="361"/>
        <v>0</v>
      </c>
      <c r="O509" s="371">
        <f t="shared" ca="1" si="361"/>
        <v>0</v>
      </c>
      <c r="P509" s="325">
        <f ca="1">SUM(E509:O509)</f>
        <v>0</v>
      </c>
    </row>
    <row r="510" spans="3:16" s="1" customFormat="1" x14ac:dyDescent="0.3">
      <c r="C510" s="353" t="s">
        <v>491</v>
      </c>
      <c r="E510"/>
      <c r="F510" s="324">
        <f ca="1">MIN(IFERROR(ROUNDUP(IF(F491&gt;0,INDEX(F499:F508,MATCH(9.99999999999999E+307,P499:P508))/IF(MOD('B. Implementation Plan'!P177,1)=0,1,MOD('B. Implementation Plan'!P177,1)),0),0),0),MAX(E499:E508))</f>
        <v>0</v>
      </c>
      <c r="G510" s="324">
        <f ca="1">MIN(IFERROR(ROUNDUP(IF(G491&gt;0,INDEX(G499:G508,MATCH(9.99999999999999E+307,P499:P508))/IF(MOD('B. Implementation Plan'!P177,1)=0,1,MOD('B. Implementation Plan'!P177,1)),0),0),0),MAX(E499:F508))</f>
        <v>0</v>
      </c>
      <c r="H510" s="324">
        <f ca="1">MIN(IFERROR(ROUNDUP(IF(H491&gt;0,INDEX(H499:H508,MATCH(9.99999999999999E+307,P499:P508))/IF(MOD('B. Implementation Plan'!P177,1)=0,1,MOD('B. Implementation Plan'!P177,1)),0),0),0),MAX(E499:G508))</f>
        <v>0</v>
      </c>
      <c r="I510" s="324">
        <f ca="1">MIN(IFERROR(ROUNDUP(IF(I491&gt;0,INDEX(I499:I508,MATCH(9.99999999999999E+307,P499:P508))/IF(MOD('B. Implementation Plan'!P177,1)=0,1,MOD('B. Implementation Plan'!P177,1)),0),0),0),MAX(E499:H508))</f>
        <v>0</v>
      </c>
      <c r="J510" s="324">
        <f ca="1">MIN(IFERROR(ROUNDUP(IF(J491&gt;0,INDEX(J499:J508,MATCH(9.99999999999999E+307,P499:P508))/IF(MOD('B. Implementation Plan'!P177,1)=0,1,MOD('B. Implementation Plan'!P177,1)),0),0),0),MAX(E499:I508))</f>
        <v>0</v>
      </c>
      <c r="K510" s="324">
        <f ca="1">MIN(IFERROR(ROUNDUP(IF(K491&gt;0,INDEX(K499:K508,MATCH(9.99999999999999E+307,P499:P508))/IF(MOD('B. Implementation Plan'!P177,1)=0,1,MOD('B. Implementation Plan'!P177,1)),0),0),0),MAX(E499:J508))</f>
        <v>0</v>
      </c>
      <c r="L510" s="324">
        <f ca="1">MIN(IFERROR(ROUNDUP(IF(L491&gt;0,INDEX(L499:L508,MATCH(9.99999999999999E+307,P499:P508))/IF(MOD('B. Implementation Plan'!P177,1)=0,1,MOD('B. Implementation Plan'!P177,1)),0),0),0),MAX(E499:K508))</f>
        <v>0</v>
      </c>
      <c r="M510" s="324">
        <f ca="1">MIN(IFERROR(ROUNDUP(IF(M491&gt;0,INDEX(M499:M508,MATCH(9.99999999999999E+307,P499:P508))/IF(MOD('B. Implementation Plan'!P177,1)=0,1,MOD('B. Implementation Plan'!P177,1)),0),0),0),MAX(E499:L508))</f>
        <v>0</v>
      </c>
      <c r="N510" s="324">
        <f ca="1">MIN(IFERROR(ROUNDUP(IF(N491&gt;0,INDEX(N499:N508,MATCH(9.99999999999999E+307,P499:P508))/IF(MOD('B. Implementation Plan'!P177,1)=0,1,MOD('B. Implementation Plan'!P177,1)),0),0),0),MAX(E499:M508))</f>
        <v>0</v>
      </c>
      <c r="O510" s="324">
        <f ca="1">MIN(IFERROR(ROUNDUP(IF(O491&gt;0,INDEX(O499:O508,MATCH(9.99999999999999E+307,P499:P508))/IF(MOD('B. Implementation Plan'!P177,1)=0,1,MOD('B. Implementation Plan'!P177,1)),0),0),0),MAX(E499:N508))</f>
        <v>0</v>
      </c>
      <c r="P510" s="325">
        <f ca="1">SUM(E510:O510)</f>
        <v>0</v>
      </c>
    </row>
    <row r="511" spans="3:16" s="365" customFormat="1" x14ac:dyDescent="0.3">
      <c r="C511" s="326" t="s">
        <v>492</v>
      </c>
      <c r="E511"/>
      <c r="F511" s="347">
        <f ca="1">ROUNDUP(IF(F491&gt;0,IF(SUM(E510:F510,E511:E511)*'B. Implementation Plan'!P147&gt;P510,0,-ROUND(SUM(E510:F510,E511:E511)*'B. Implementation Plan'!P147,0)),0),0)</f>
        <v>0</v>
      </c>
      <c r="G511" s="347">
        <f ca="1">ROUNDUP(IF(G491&gt;0,IF(SUM(E510:G510,E511:F511)*'B. Implementation Plan'!P147&gt;P510,0,-ROUND(SUM(E510:G510,E511:F511)*'B. Implementation Plan'!P147,0)),0),0)</f>
        <v>0</v>
      </c>
      <c r="H511" s="347">
        <f ca="1">ROUNDUP(IF(H491&gt;0,IF(SUM(E510:H510,E511:G511)*'B. Implementation Plan'!P147&gt;P510,0,-ROUND(SUM(E510:H510,E511:G511)*'B. Implementation Plan'!P147,0)),0),0)</f>
        <v>0</v>
      </c>
      <c r="I511" s="347">
        <f ca="1">ROUNDUP(IF(I491&gt;0,IF(SUM(E510:I510,E511:H511)*'B. Implementation Plan'!P147&gt;P510,0,-ROUND(SUM(E510:I510,E511:H511)*'B. Implementation Plan'!P147,0)),0),0)</f>
        <v>0</v>
      </c>
      <c r="J511" s="347">
        <f ca="1">ROUNDUP(IF(J491&gt;0,IF(SUM(E510:J510,E511:I511)*'B. Implementation Plan'!P147&gt;P510,0,-ROUND(SUM(E510:J510,E511:I511)*'B. Implementation Plan'!P147,0)),0),0)</f>
        <v>0</v>
      </c>
      <c r="K511" s="347">
        <f ca="1">ROUNDUP(IF(K491&gt;0,IF(SUM(E510:K510,E511:J511)*'B. Implementation Plan'!P147&gt;P510,0,-ROUND(SUM(E510:K510,E511:J511)*'B. Implementation Plan'!P147,0)),0),0)</f>
        <v>0</v>
      </c>
      <c r="L511" s="347">
        <f ca="1">ROUNDUP(IF(L491&gt;0,IF(SUM(E510:L510,E511:K511)*'B. Implementation Plan'!P147&gt;P510,0,-ROUND(SUM(E510:L510,E511:K511)*'B. Implementation Plan'!P147,0)),0),0)</f>
        <v>0</v>
      </c>
      <c r="M511" s="347">
        <f ca="1">ROUNDUP(IF(M491&gt;0,IF(SUM(E510:M510,E511:L511)*'B. Implementation Plan'!P147&gt;P510,0,-ROUND(SUM(E510:M510,E511:L511)*'B. Implementation Plan'!P147,0)),0),0)</f>
        <v>0</v>
      </c>
      <c r="N511" s="347">
        <f ca="1">ROUNDUP(IF(N491&gt;0,IF(SUM(E510:N510,E511:M511)*'B. Implementation Plan'!P147&gt;P510,0,-ROUND(SUM(E510:N510,E511:M511)*'B. Implementation Plan'!P147,0)),0),0)</f>
        <v>0</v>
      </c>
      <c r="O511" s="347">
        <f ca="1">ROUNDUP(IF(O491&gt;0,IF(SUM(E510:O510,E511:N511)*'B. Implementation Plan'!P147&gt;P510,0,-ROUND(SUM(E510:O510,E511:N511)*'B. Implementation Plan'!P147,0)),0),0)</f>
        <v>0</v>
      </c>
      <c r="P511" s="354">
        <f ca="1">SUM(E511:O511)</f>
        <v>0</v>
      </c>
    </row>
    <row r="512" spans="3:16" s="365" customFormat="1" ht="15" thickBot="1" x14ac:dyDescent="0.35">
      <c r="C512" s="326" t="s">
        <v>493</v>
      </c>
      <c r="E512"/>
      <c r="F512" s="347">
        <f ca="1">IF(F491&gt;0,SUM(E510:F511),0)</f>
        <v>0</v>
      </c>
      <c r="G512" s="347">
        <f ca="1">IF(G491&gt;0,SUM(E510:G511),0)</f>
        <v>0</v>
      </c>
      <c r="H512" s="347">
        <f ca="1">IF(H491&gt;0,SUM(E510:H511),0)</f>
        <v>0</v>
      </c>
      <c r="I512" s="347">
        <f ca="1">IF(I491&gt;0,SUM(E510:I511),0)</f>
        <v>0</v>
      </c>
      <c r="J512" s="347">
        <f ca="1">IF(J491&gt;0,SUM(E510:J511),0)</f>
        <v>0</v>
      </c>
      <c r="K512" s="347">
        <f ca="1">IF(K491&gt;0,SUM(E510:K511),0)</f>
        <v>0</v>
      </c>
      <c r="L512" s="347">
        <f ca="1">IF(L491&gt;0,SUM(E510:L511),0)</f>
        <v>0</v>
      </c>
      <c r="M512" s="347">
        <f ca="1">IF(M491&gt;0,SUM(E510:M511),0)</f>
        <v>0</v>
      </c>
      <c r="N512" s="347">
        <f ca="1">IF(N491&gt;0,SUM(E510:N511),0)</f>
        <v>0</v>
      </c>
      <c r="O512" s="369">
        <f ca="1">IF(O491&gt;0,SUM(E510:O511),0)</f>
        <v>0</v>
      </c>
      <c r="P512" s="375">
        <f t="shared" ref="P512" ca="1" si="362">IF(O512=0,IF(N512=0,IF(M512=0,IF(L512=0,IF(K512=0,IF(J512=0,IF(I512=0,IF(H512=0,IF(G512=0,IF(F512=0,E512,F512),G512),H512),I512),J512),K512),L512),M512),N512),O512)</f>
        <v>0</v>
      </c>
    </row>
    <row r="513" spans="3:16" ht="15" thickBot="1" x14ac:dyDescent="0.35">
      <c r="C513" s="59" t="s">
        <v>519</v>
      </c>
    </row>
    <row r="514" spans="3:16" ht="15.6" x14ac:dyDescent="0.3">
      <c r="C514" s="326" t="s">
        <v>473</v>
      </c>
      <c r="F514" s="149">
        <v>1</v>
      </c>
      <c r="G514" s="149">
        <v>2</v>
      </c>
      <c r="H514" s="149">
        <v>3</v>
      </c>
      <c r="I514" s="149">
        <v>4</v>
      </c>
      <c r="J514" s="149">
        <v>5</v>
      </c>
      <c r="K514" s="149">
        <v>6</v>
      </c>
      <c r="L514" s="149">
        <v>7</v>
      </c>
      <c r="M514" s="149">
        <v>8</v>
      </c>
      <c r="N514" s="149">
        <v>9</v>
      </c>
      <c r="O514" s="374">
        <v>10</v>
      </c>
      <c r="P514" s="351" t="s">
        <v>2</v>
      </c>
    </row>
    <row r="515" spans="3:16" s="365" customFormat="1" x14ac:dyDescent="0.3">
      <c r="C515" s="370">
        <v>1</v>
      </c>
      <c r="E515"/>
      <c r="F515" s="347">
        <f>IF($C515&lt;=ROUNDUP('B. Implementation Plan'!P177,0),ROUND(IF(AND($C515-'B. Implementation Plan'!P177&lt;1,$C515-'B. Implementation Plan'!P177&gt;0),MOD('B. Implementation Plan'!P177,1)*(E496+F496)*(1-'B. Implementation Plan'!P175)*'B. Implementation Plan'!P176*(1-'B. Implementation Plan'!P147)^($C515-1),(E496+F496)*(1-'B. Implementation Plan'!P175)*'B. Implementation Plan'!P176*(1-'B. Implementation Plan'!P147)^($C515-1)),0),0)</f>
        <v>0</v>
      </c>
      <c r="G515" s="347">
        <f>IF($C515&lt;=ROUNDUP('B. Implementation Plan'!P177,0),ROUND(IF(AND($C515-'B. Implementation Plan'!P177&lt;1,$C515-'B. Implementation Plan'!P177&gt;0),MOD('B. Implementation Plan'!P177,1)*G496*(1-'B. Implementation Plan'!P175)*'B. Implementation Plan'!P176*(1-'B. Implementation Plan'!P147)^($C515-1),G496*(1-'B. Implementation Plan'!P175)*'B. Implementation Plan'!P176*(1-'B. Implementation Plan'!P147)^($C515-1)),0),0)</f>
        <v>0</v>
      </c>
      <c r="H515" s="347">
        <f>IF($C515&lt;=ROUNDUP('B. Implementation Plan'!P177,0),ROUND(IF(AND($C515-'B. Implementation Plan'!P177&lt;1,$C515-'B. Implementation Plan'!P177&gt;0),MOD('B. Implementation Plan'!P177,1)*H496*(1-'B. Implementation Plan'!P175)*'B. Implementation Plan'!P176*(1-'B. Implementation Plan'!P147)^($C515-1),H496*(1-'B. Implementation Plan'!P175)*'B. Implementation Plan'!P176*(1-'B. Implementation Plan'!P147)^($C515-1)),0),0)</f>
        <v>0</v>
      </c>
      <c r="I515" s="347">
        <f>IF($C515&lt;=ROUNDUP('B. Implementation Plan'!P177,0),ROUND(IF(AND($C515-'B. Implementation Plan'!P177&lt;1,$C515-'B. Implementation Plan'!P177&gt;0),MOD('B. Implementation Plan'!P177,1)*I496*(1-'B. Implementation Plan'!P175)*'B. Implementation Plan'!P176*(1-'B. Implementation Plan'!P147)^($C515-1),I496*(1-'B. Implementation Plan'!P175)*'B. Implementation Plan'!P176*(1-'B. Implementation Plan'!P147)^($C515-1)),0),0)</f>
        <v>0</v>
      </c>
      <c r="J515" s="347">
        <f>IF($C515&lt;=ROUNDUP('B. Implementation Plan'!P177,0),ROUND(IF(AND($C515-'B. Implementation Plan'!P177&lt;1,$C515-'B. Implementation Plan'!P177&gt;0),MOD('B. Implementation Plan'!P177,1)*J496*(1-'B. Implementation Plan'!P175)*'B. Implementation Plan'!P176*(1-'B. Implementation Plan'!P147)^($C515-1),J496*(1-'B. Implementation Plan'!P175)*'B. Implementation Plan'!P176*(1-'B. Implementation Plan'!P147)^($C515-1)),0),0)</f>
        <v>0</v>
      </c>
      <c r="K515" s="347">
        <f>IF($C515&lt;=ROUNDUP('B. Implementation Plan'!P177,0),ROUND(IF(AND($C515-'B. Implementation Plan'!P177&lt;1,$C515-'B. Implementation Plan'!P177&gt;0),MOD('B. Implementation Plan'!P177,1)*K496*(1-'B. Implementation Plan'!P175)*'B. Implementation Plan'!P176*(1-'B. Implementation Plan'!P147)^($C515-1),K496*(1-'B. Implementation Plan'!P175)*'B. Implementation Plan'!P176*(1-'B. Implementation Plan'!P147)^($C515-1)),0),0)</f>
        <v>0</v>
      </c>
      <c r="L515" s="347">
        <f>IF($C515&lt;=ROUNDUP('B. Implementation Plan'!P177,0),ROUND(IF(AND($C515-'B. Implementation Plan'!P177&lt;1,$C515-'B. Implementation Plan'!P177&gt;0),MOD('B. Implementation Plan'!P177,1)*L496*(1-'B. Implementation Plan'!P175)*'B. Implementation Plan'!P176*(1-'B. Implementation Plan'!P147)^($C515-1),L496*(1-'B. Implementation Plan'!P175)*'B. Implementation Plan'!P176*(1-'B. Implementation Plan'!P147)^($C515-1)),0),0)</f>
        <v>0</v>
      </c>
      <c r="M515" s="347">
        <f>IF($C515&lt;=ROUNDUP('B. Implementation Plan'!P177,0),ROUND(IF(AND($C515-'B. Implementation Plan'!P177&lt;1,$C515-'B. Implementation Plan'!P177&gt;0),MOD('B. Implementation Plan'!P177,1)*M496*(1-'B. Implementation Plan'!P175)*'B. Implementation Plan'!P176*(1-'B. Implementation Plan'!P147)^($C515-1),M496*(1-'B. Implementation Plan'!P175)*'B. Implementation Plan'!P176*(1-'B. Implementation Plan'!P147)^($C515-1)),0),0)</f>
        <v>0</v>
      </c>
      <c r="N515" s="347">
        <f>IF($C515&lt;=ROUNDUP('B. Implementation Plan'!P177,0),ROUND(IF(AND($C515-'B. Implementation Plan'!P177&lt;1,$C515-'B. Implementation Plan'!P177&gt;0),MOD('B. Implementation Plan'!P177,1)*N496*(1-'B. Implementation Plan'!P175)*'B. Implementation Plan'!P176*(1-'B. Implementation Plan'!P147)^($C515-1),N496*(1-'B. Implementation Plan'!P175)*'B. Implementation Plan'!P176*(1-'B. Implementation Plan'!P147)^($C515-1)),0),0)</f>
        <v>0</v>
      </c>
      <c r="O515" s="347">
        <f>IF($C515&lt;=ROUNDUP('B. Implementation Plan'!P177,0),ROUND(IF(AND($C515-'B. Implementation Plan'!P177&lt;1,$C515-'B. Implementation Plan'!P177&gt;0),MOD('B. Implementation Plan'!P177,1)*O496*(1-'B. Implementation Plan'!P175)*'B. Implementation Plan'!P176*(1-'B. Implementation Plan'!P147)^($C515-1),O496*(1-'B. Implementation Plan'!P175)*'B. Implementation Plan'!P176*(1-'B. Implementation Plan'!P147)^($C515-1)),0),0)</f>
        <v>0</v>
      </c>
      <c r="P515" s="78" t="str">
        <f>IF(SUM(F515:O515)&gt;0,SUM(F515:O515),"")</f>
        <v/>
      </c>
    </row>
    <row r="516" spans="3:16" s="365" customFormat="1" x14ac:dyDescent="0.3">
      <c r="C516" s="370">
        <v>2</v>
      </c>
      <c r="E516"/>
      <c r="F516"/>
      <c r="G516" s="347">
        <f>IF($C516&lt;=ROUNDUP('B. Implementation Plan'!P177,0),ROUND(IF(AND($C516-'B. Implementation Plan'!P177&lt;1,$C516-'B. Implementation Plan'!P177&gt;0),MOD('B. Implementation Plan'!P177,1)*(E496+G496)*(1-'B. Implementation Plan'!P175)*'B. Implementation Plan'!P176*(1-'B. Implementation Plan'!P147)^($C516-1),(E496+G496)*(1-'B. Implementation Plan'!P175)*'B. Implementation Plan'!P176*(1-'B. Implementation Plan'!P147)^($C516-1)),0),0)</f>
        <v>0</v>
      </c>
      <c r="H516" s="347">
        <f>IF($C516&lt;=ROUNDUP('B. Implementation Plan'!P177,0),ROUND(IF(AND($C516-'B. Implementation Plan'!P177&lt;1,$C516-'B. Implementation Plan'!P177&gt;0),MOD('B. Implementation Plan'!P177,1)*G496*(1-'B. Implementation Plan'!P175)*'B. Implementation Plan'!P176*(1-'B. Implementation Plan'!P147)^($C516-1),G496*(1-'B. Implementation Plan'!P175)*'B. Implementation Plan'!P176*(1-'B. Implementation Plan'!P147)^($C516-1)),0),0)</f>
        <v>0</v>
      </c>
      <c r="I516" s="347">
        <f>IF($C516&lt;=ROUNDUP('B. Implementation Plan'!P177,0),ROUND(IF(AND($C516-'B. Implementation Plan'!P177&lt;1,$C516-'B. Implementation Plan'!P177&gt;0),MOD('B. Implementation Plan'!P177,1)*H496*(1-'B. Implementation Plan'!P175)*'B. Implementation Plan'!P176*(1-'B. Implementation Plan'!P147)^($C516-1),H496*(1-'B. Implementation Plan'!P175)*'B. Implementation Plan'!P176*(1-'B. Implementation Plan'!P147)^($C516-1)),0),0)</f>
        <v>0</v>
      </c>
      <c r="J516" s="347">
        <f>IF($C516&lt;=ROUNDUP('B. Implementation Plan'!P177,0),ROUND(IF(AND($C516-'B. Implementation Plan'!P177&lt;1,$C516-'B. Implementation Plan'!P177&gt;0),MOD('B. Implementation Plan'!P177,1)*I496*(1-'B. Implementation Plan'!P175)*'B. Implementation Plan'!P176*(1-'B. Implementation Plan'!P147)^($C516-1),I496*(1-'B. Implementation Plan'!P175)*'B. Implementation Plan'!P176*(1-'B. Implementation Plan'!P147)^($C516-1)),0),0)</f>
        <v>0</v>
      </c>
      <c r="K516" s="347">
        <f>IF($C516&lt;=ROUNDUP('B. Implementation Plan'!P177,0),ROUND(IF(AND($C516-'B. Implementation Plan'!P177&lt;1,$C516-'B. Implementation Plan'!P177&gt;0),MOD('B. Implementation Plan'!P177,1)*J496*(1-'B. Implementation Plan'!P175)*'B. Implementation Plan'!P176*(1-'B. Implementation Plan'!P147)^($C516-1),J496*(1-'B. Implementation Plan'!P175)*'B. Implementation Plan'!P176*(1-'B. Implementation Plan'!P147)^($C516-1)),0),0)</f>
        <v>0</v>
      </c>
      <c r="L516" s="347">
        <f>IF($C516&lt;=ROUNDUP('B. Implementation Plan'!P177,0),ROUND(IF(AND($C516-'B. Implementation Plan'!P177&lt;1,$C516-'B. Implementation Plan'!P177&gt;0),MOD('B. Implementation Plan'!P177,1)*K496*(1-'B. Implementation Plan'!P175)*'B. Implementation Plan'!P176*(1-'B. Implementation Plan'!P147)^($C516-1),K496*(1-'B. Implementation Plan'!P175)*'B. Implementation Plan'!P176*(1-'B. Implementation Plan'!P147)^($C516-1)),0),0)</f>
        <v>0</v>
      </c>
      <c r="M516" s="347">
        <f>IF($C516&lt;=ROUNDUP('B. Implementation Plan'!P177,0),ROUND(IF(AND($C516-'B. Implementation Plan'!P177&lt;1,$C516-'B. Implementation Plan'!P177&gt;0),MOD('B. Implementation Plan'!P177,1)*L496*(1-'B. Implementation Plan'!P175)*'B. Implementation Plan'!P176*(1-'B. Implementation Plan'!P147)^($C516-1),L496*(1-'B. Implementation Plan'!P175)*'B. Implementation Plan'!P176*(1-'B. Implementation Plan'!P147)^($C516-1)),0),0)</f>
        <v>0</v>
      </c>
      <c r="N516" s="347">
        <f>IF($C516&lt;=ROUNDUP('B. Implementation Plan'!P177,0),ROUND(IF(AND($C516-'B. Implementation Plan'!P177&lt;1,$C516-'B. Implementation Plan'!P177&gt;0),MOD('B. Implementation Plan'!P177,1)*M496*(1-'B. Implementation Plan'!P175)*'B. Implementation Plan'!P176*(1-'B. Implementation Plan'!P147)^($C516-1),M496*(1-'B. Implementation Plan'!P175)*'B. Implementation Plan'!P176*(1-'B. Implementation Plan'!P147)^($C516-1)),0),0)</f>
        <v>0</v>
      </c>
      <c r="O516" s="347">
        <f>IF($C516&lt;=ROUNDUP('B. Implementation Plan'!P177,0),ROUND(IF(AND($C516-'B. Implementation Plan'!P177&lt;1,$C516-'B. Implementation Plan'!P177&gt;0),MOD('B. Implementation Plan'!P177,1)*N496*(1-'B. Implementation Plan'!P175)*'B. Implementation Plan'!P176*(1-'B. Implementation Plan'!P147)^($C516-1),N496*(1-'B. Implementation Plan'!P175)*'B. Implementation Plan'!P176*(1-'B. Implementation Plan'!P147)^($C516-1)),0),0)</f>
        <v>0</v>
      </c>
      <c r="P516" s="78" t="str">
        <f t="shared" ref="P516:P524" si="363">IF(SUM(F516:O516)&gt;0,SUM(F516:O516),"")</f>
        <v/>
      </c>
    </row>
    <row r="517" spans="3:16" s="365" customFormat="1" x14ac:dyDescent="0.3">
      <c r="C517" s="370">
        <v>3</v>
      </c>
      <c r="E517"/>
      <c r="F517"/>
      <c r="G517"/>
      <c r="H517" s="347">
        <f>IF($C517&lt;=ROUNDUP('B. Implementation Plan'!P177,0),ROUND(IF(AND($C517-'B. Implementation Plan'!P177&lt;1,$C517-'B. Implementation Plan'!P177&gt;0),MOD('B. Implementation Plan'!P177,1)*(E496+H496)*(1-'B. Implementation Plan'!P175)*'B. Implementation Plan'!P176*(1-'B. Implementation Plan'!P147)^($C517-1),(E496+H496)*(1-'B. Implementation Plan'!P175)*'B. Implementation Plan'!P176*(1-'B. Implementation Plan'!P147)^($C517-1)),0),0)</f>
        <v>0</v>
      </c>
      <c r="I517" s="347">
        <f>IF($C517&lt;=ROUNDUP('B. Implementation Plan'!P177,0),ROUND(IF(AND($C517-'B. Implementation Plan'!P177&lt;1,$C517-'B. Implementation Plan'!P177&gt;0),MOD('B. Implementation Plan'!P177,1)*G496*(1-'B. Implementation Plan'!P175)*'B. Implementation Plan'!P176*(1-'B. Implementation Plan'!P147)^($C517-1),G496*(1-'B. Implementation Plan'!P175)*'B. Implementation Plan'!P176*(1-'B. Implementation Plan'!P147)^($C517-1)),0),0)</f>
        <v>0</v>
      </c>
      <c r="J517" s="347">
        <f>IF($C517&lt;=ROUNDUP('B. Implementation Plan'!P177,0),ROUND(IF(AND($C517-'B. Implementation Plan'!P177&lt;1,$C517-'B. Implementation Plan'!P177&gt;0),MOD('B. Implementation Plan'!P177,1)*H496*(1-'B. Implementation Plan'!P175)*'B. Implementation Plan'!P176*(1-'B. Implementation Plan'!P147)^($C517-1),H496*(1-'B. Implementation Plan'!P175)*'B. Implementation Plan'!P176*(1-'B. Implementation Plan'!P147)^($C517-1)),0),0)</f>
        <v>0</v>
      </c>
      <c r="K517" s="347">
        <f>IF($C517&lt;=ROUNDUP('B. Implementation Plan'!P177,0),ROUND(IF(AND($C517-'B. Implementation Plan'!P177&lt;1,$C517-'B. Implementation Plan'!P177&gt;0),MOD('B. Implementation Plan'!P177,1)*I496*(1-'B. Implementation Plan'!P175)*'B. Implementation Plan'!P176*(1-'B. Implementation Plan'!P147)^($C517-1),I496*(1-'B. Implementation Plan'!P175)*'B. Implementation Plan'!P176*(1-'B. Implementation Plan'!P147)^($C517-1)),0),0)</f>
        <v>0</v>
      </c>
      <c r="L517" s="347">
        <f>IF($C517&lt;=ROUNDUP('B. Implementation Plan'!P177,0),ROUND(IF(AND($C517-'B. Implementation Plan'!P177&lt;1,$C517-'B. Implementation Plan'!P177&gt;0),MOD('B. Implementation Plan'!P177,1)*J496*(1-'B. Implementation Plan'!P175)*'B. Implementation Plan'!P176*(1-'B. Implementation Plan'!P147)^($C517-1),J496*(1-'B. Implementation Plan'!P175)*'B. Implementation Plan'!P176*(1-'B. Implementation Plan'!P147)^($C517-1)),0),0)</f>
        <v>0</v>
      </c>
      <c r="M517" s="347">
        <f>IF($C517&lt;=ROUNDUP('B. Implementation Plan'!P177,0),ROUND(IF(AND($C517-'B. Implementation Plan'!P177&lt;1,$C517-'B. Implementation Plan'!P177&gt;0),MOD('B. Implementation Plan'!P177,1)*K496*(1-'B. Implementation Plan'!P175)*'B. Implementation Plan'!P176*(1-'B. Implementation Plan'!P147)^($C517-1),K496*(1-'B. Implementation Plan'!P175)*'B. Implementation Plan'!P176*(1-'B. Implementation Plan'!P147)^($C517-1)),0),0)</f>
        <v>0</v>
      </c>
      <c r="N517" s="347">
        <f>IF($C517&lt;=ROUNDUP('B. Implementation Plan'!P177,0),ROUND(IF(AND($C517-'B. Implementation Plan'!P177&lt;1,$C517-'B. Implementation Plan'!P177&gt;0),MOD('B. Implementation Plan'!P177,1)*L496*(1-'B. Implementation Plan'!P175)*'B. Implementation Plan'!P176*(1-'B. Implementation Plan'!P147)^($C517-1),L496*(1-'B. Implementation Plan'!P175)*'B. Implementation Plan'!P176*(1-'B. Implementation Plan'!P147)^($C517-1)),0),0)</f>
        <v>0</v>
      </c>
      <c r="O517" s="347">
        <f>IF($C517&lt;=ROUNDUP('B. Implementation Plan'!P177,0),ROUND(IF(AND($C517-'B. Implementation Plan'!P177&lt;1,$C517-'B. Implementation Plan'!P177&gt;0),MOD('B. Implementation Plan'!P177,1)*M496*(1-'B. Implementation Plan'!P175)*'B. Implementation Plan'!P176*(1-'B. Implementation Plan'!P147)^($C517-1),M496*(1-'B. Implementation Plan'!P175)*'B. Implementation Plan'!P176*(1-'B. Implementation Plan'!P147)^($C517-1)),0),0)</f>
        <v>0</v>
      </c>
      <c r="P517" s="78" t="str">
        <f t="shared" si="363"/>
        <v/>
      </c>
    </row>
    <row r="518" spans="3:16" s="365" customFormat="1" x14ac:dyDescent="0.3">
      <c r="C518" s="370">
        <v>4</v>
      </c>
      <c r="D518" s="365" t="s">
        <v>361</v>
      </c>
      <c r="E518"/>
      <c r="F518"/>
      <c r="G518"/>
      <c r="H518"/>
      <c r="I518" s="347">
        <f>IF($C518&lt;=ROUNDUP('B. Implementation Plan'!P177,0),ROUND(IF(AND($C518-'B. Implementation Plan'!P177&lt;1,$C518-'B. Implementation Plan'!P177&gt;0),MOD('B. Implementation Plan'!P177,1)*(E496+I496)*(1-'B. Implementation Plan'!P175)*'B. Implementation Plan'!P176*(1-'B. Implementation Plan'!P147)^($C518-1),(E496+I496)*(1-'B. Implementation Plan'!P175)*'B. Implementation Plan'!P176*(1-'B. Implementation Plan'!P147)^($C518-1)),0),0)</f>
        <v>0</v>
      </c>
      <c r="J518" s="347">
        <f>IF($C518&lt;=ROUNDUP('B. Implementation Plan'!P177,0),ROUND(IF(AND($C518-'B. Implementation Plan'!P177&lt;1,$C518-'B. Implementation Plan'!P177&gt;0),MOD('B. Implementation Plan'!P177,1)*G496*(1-'B. Implementation Plan'!P175)*'B. Implementation Plan'!P176*(1-'B. Implementation Plan'!P147)^($C518-1),G496*(1-'B. Implementation Plan'!P175)*'B. Implementation Plan'!P176*(1-'B. Implementation Plan'!P147)^($C518-1)),0),0)</f>
        <v>0</v>
      </c>
      <c r="K518" s="347">
        <f>IF($C518&lt;=ROUNDUP('B. Implementation Plan'!P177,0),ROUND(IF(AND($C518-'B. Implementation Plan'!P177&lt;1,$C518-'B. Implementation Plan'!P177&gt;0),MOD('B. Implementation Plan'!P177,1)*H496*(1-'B. Implementation Plan'!P175)*'B. Implementation Plan'!P176*(1-'B. Implementation Plan'!P147)^($C518-1),H496*(1-'B. Implementation Plan'!P175)*'B. Implementation Plan'!P176*(1-'B. Implementation Plan'!P147)^($C518-1)),0),0)</f>
        <v>0</v>
      </c>
      <c r="L518" s="347">
        <f>IF($C518&lt;=ROUNDUP('B. Implementation Plan'!P177,0),ROUND(IF(AND($C518-'B. Implementation Plan'!P177&lt;1,$C518-'B. Implementation Plan'!P177&gt;0),MOD('B. Implementation Plan'!P177,1)*I496*(1-'B. Implementation Plan'!P175)*'B. Implementation Plan'!P176*(1-'B. Implementation Plan'!P147)^($C518-1),I496*(1-'B. Implementation Plan'!P175)*'B. Implementation Plan'!P176*(1-'B. Implementation Plan'!P147)^($C518-1)),0),0)</f>
        <v>0</v>
      </c>
      <c r="M518" s="347">
        <f>IF($C518&lt;=ROUNDUP('B. Implementation Plan'!P177,0),ROUND(IF(AND($C518-'B. Implementation Plan'!P177&lt;1,$C518-'B. Implementation Plan'!P177&gt;0),MOD('B. Implementation Plan'!P177,1)*J496*(1-'B. Implementation Plan'!P175)*'B. Implementation Plan'!P176*(1-'B. Implementation Plan'!P147)^($C518-1),J496*(1-'B. Implementation Plan'!P175)*'B. Implementation Plan'!P176*(1-'B. Implementation Plan'!P147)^($C518-1)),0),0)</f>
        <v>0</v>
      </c>
      <c r="N518" s="347">
        <f>IF($C518&lt;=ROUNDUP('B. Implementation Plan'!P177,0),ROUND(IF(AND($C518-'B. Implementation Plan'!P177&lt;1,$C518-'B. Implementation Plan'!P177&gt;0),MOD('B. Implementation Plan'!P177,1)*K496*(1-'B. Implementation Plan'!P175)*'B. Implementation Plan'!P176*(1-'B. Implementation Plan'!P147)^($C518-1),K496*(1-'B. Implementation Plan'!P175)*'B. Implementation Plan'!P176*(1-'B. Implementation Plan'!P147)^($C518-1)),0),0)</f>
        <v>0</v>
      </c>
      <c r="O518" s="347">
        <f>IF($C518&lt;=ROUNDUP('B. Implementation Plan'!P177,0),ROUND(IF(AND($C518-'B. Implementation Plan'!P177&lt;1,$C518-'B. Implementation Plan'!P177&gt;0),MOD('B. Implementation Plan'!P177,1)*L496*(1-'B. Implementation Plan'!P175)*'B. Implementation Plan'!P176*(1-'B. Implementation Plan'!P147)^($C518-1),L496*(1-'B. Implementation Plan'!P175)*'B. Implementation Plan'!P176*(1-'B. Implementation Plan'!P147)^($C518-1)),0),0)</f>
        <v>0</v>
      </c>
      <c r="P518" s="78" t="str">
        <f t="shared" si="363"/>
        <v/>
      </c>
    </row>
    <row r="519" spans="3:16" s="365" customFormat="1" x14ac:dyDescent="0.3">
      <c r="C519" s="370">
        <v>5</v>
      </c>
      <c r="E519"/>
      <c r="F519"/>
      <c r="G519"/>
      <c r="H519"/>
      <c r="I519"/>
      <c r="J519" s="347">
        <f>IF($C519&lt;=ROUNDUP('B. Implementation Plan'!P177,0),ROUND(IF(AND($C519-'B. Implementation Plan'!P177&lt;1,$C519-'B. Implementation Plan'!P177&gt;0),MOD('B. Implementation Plan'!P177,1)*(E496+J496)*(1-'B. Implementation Plan'!P175)*'B. Implementation Plan'!P176*(1-'B. Implementation Plan'!P147)^($C519-1),(E496+J496)*(1-'B. Implementation Plan'!P175)*'B. Implementation Plan'!P176*(1-'B. Implementation Plan'!P147)^($C519-1)),0),0)</f>
        <v>0</v>
      </c>
      <c r="K519" s="347">
        <f>IF($C519&lt;=ROUNDUP('B. Implementation Plan'!P177,0),ROUND(IF(AND($C519-'B. Implementation Plan'!P177&lt;1,$C519-'B. Implementation Plan'!P177&gt;0),MOD('B. Implementation Plan'!P177,1)*G496*(1-'B. Implementation Plan'!P175)*'B. Implementation Plan'!P176*(1-'B. Implementation Plan'!P147)^($C519-1),G496*(1-'B. Implementation Plan'!P175)*'B. Implementation Plan'!P176*(1-'B. Implementation Plan'!P147)^($C519-1)),0),0)</f>
        <v>0</v>
      </c>
      <c r="L519" s="347">
        <f>IF($C519&lt;=ROUNDUP('B. Implementation Plan'!P177,0),ROUND(IF(AND($C519-'B. Implementation Plan'!P177&lt;1,$C519-'B. Implementation Plan'!P177&gt;0),MOD('B. Implementation Plan'!P177,1)*H496*(1-'B. Implementation Plan'!P175)*'B. Implementation Plan'!P176*(1-'B. Implementation Plan'!P147)^($C519-1),H496*(1-'B. Implementation Plan'!P175)*'B. Implementation Plan'!P176*(1-'B. Implementation Plan'!P147)^($C519-1)),0),0)</f>
        <v>0</v>
      </c>
      <c r="M519" s="347">
        <f>IF($C519&lt;=ROUNDUP('B. Implementation Plan'!P177,0),ROUND(IF(AND($C519-'B. Implementation Plan'!P177&lt;1,$C519-'B. Implementation Plan'!P177&gt;0),MOD('B. Implementation Plan'!P177,1)*I496*(1-'B. Implementation Plan'!P175)*'B. Implementation Plan'!P176*(1-'B. Implementation Plan'!P147)^($C519-1),I496*(1-'B. Implementation Plan'!P175)*'B. Implementation Plan'!P176*(1-'B. Implementation Plan'!P147)^($C519-1)),0),0)</f>
        <v>0</v>
      </c>
      <c r="N519" s="347">
        <f>IF($C519&lt;=ROUNDUP('B. Implementation Plan'!P177,0),ROUND(IF(AND($C519-'B. Implementation Plan'!P177&lt;1,$C519-'B. Implementation Plan'!P177&gt;0),MOD('B. Implementation Plan'!P177,1)*J496*(1-'B. Implementation Plan'!P175)*'B. Implementation Plan'!P176*(1-'B. Implementation Plan'!P147)^($C519-1),J496*(1-'B. Implementation Plan'!P175)*'B. Implementation Plan'!P176*(1-'B. Implementation Plan'!P147)^($C519-1)),0),0)</f>
        <v>0</v>
      </c>
      <c r="O519" s="347">
        <f>IF($C519&lt;=ROUNDUP('B. Implementation Plan'!P177,0),ROUND(IF(AND($C519-'B. Implementation Plan'!P177&lt;1,$C519-'B. Implementation Plan'!P177&gt;0),MOD('B. Implementation Plan'!P177,1)*K496*(1-'B. Implementation Plan'!P175)*'B. Implementation Plan'!P176*(1-'B. Implementation Plan'!P147)^($C519-1),K496*(1-'B. Implementation Plan'!P175)*'B. Implementation Plan'!P176*(1-'B. Implementation Plan'!P147)^($C519-1)),0),0)</f>
        <v>0</v>
      </c>
      <c r="P519" s="78" t="str">
        <f t="shared" si="363"/>
        <v/>
      </c>
    </row>
    <row r="520" spans="3:16" s="365" customFormat="1" x14ac:dyDescent="0.3">
      <c r="C520" s="370">
        <v>6</v>
      </c>
      <c r="E520"/>
      <c r="F520"/>
      <c r="G520"/>
      <c r="H520"/>
      <c r="I520"/>
      <c r="J520"/>
      <c r="K520" s="347">
        <f>IF($C520&lt;=ROUNDUP('B. Implementation Plan'!P177,0),ROUND(IF(AND($C520-'B. Implementation Plan'!P177&lt;1,$C520-'B. Implementation Plan'!P177&gt;0),MOD('B. Implementation Plan'!P177,1)*(E496+K496)*(1-'B. Implementation Plan'!P175)*'B. Implementation Plan'!P176*(1-'B. Implementation Plan'!P147)^($C520-1),(E496+K496)*(1-'B. Implementation Plan'!P175)*'B. Implementation Plan'!P176*(1-'B. Implementation Plan'!P147)^($C520-1)),0),0)</f>
        <v>0</v>
      </c>
      <c r="L520" s="347">
        <f>IF($C520&lt;=ROUNDUP('B. Implementation Plan'!P177,0),ROUND(IF(AND($C520-'B. Implementation Plan'!P177&lt;1,$C520-'B. Implementation Plan'!P177&gt;0),MOD('B. Implementation Plan'!P177,1)*G496*(1-'B. Implementation Plan'!P175)*'B. Implementation Plan'!P176*(1-'B. Implementation Plan'!P147)^($C520-1),G496*(1-'B. Implementation Plan'!P175)*'B. Implementation Plan'!P176*(1-'B. Implementation Plan'!P147)^($C520-1)),0),0)</f>
        <v>0</v>
      </c>
      <c r="M520" s="347">
        <f>IF($C520&lt;=ROUNDUP('B. Implementation Plan'!P177,0),ROUND(IF(AND($C520-'B. Implementation Plan'!P177&lt;1,$C520-'B. Implementation Plan'!P177&gt;0),MOD('B. Implementation Plan'!P177,1)*H496*(1-'B. Implementation Plan'!P175)*'B. Implementation Plan'!P176*(1-'B. Implementation Plan'!P147)^($C520-1),H496*(1-'B. Implementation Plan'!P175)*'B. Implementation Plan'!P176*(1-'B. Implementation Plan'!P147)^($C520-1)),0),0)</f>
        <v>0</v>
      </c>
      <c r="N520" s="347">
        <f>IF($C520&lt;=ROUNDUP('B. Implementation Plan'!P177,0),ROUND(IF(AND($C520-'B. Implementation Plan'!P177&lt;1,$C520-'B. Implementation Plan'!P177&gt;0),MOD('B. Implementation Plan'!P177,1)*I496*(1-'B. Implementation Plan'!P175)*'B. Implementation Plan'!P176*(1-'B. Implementation Plan'!P147)^($C520-1),I496*(1-'B. Implementation Plan'!P175)*'B. Implementation Plan'!P176*(1-'B. Implementation Plan'!P147)^($C520-1)),0),0)</f>
        <v>0</v>
      </c>
      <c r="O520" s="347">
        <f>IF($C520&lt;=ROUNDUP('B. Implementation Plan'!P177,0),ROUND(IF(AND($C520-'B. Implementation Plan'!P177&lt;1,$C520-'B. Implementation Plan'!P177&gt;0),MOD('B. Implementation Plan'!P177,1)*J496*(1-'B. Implementation Plan'!P175)*'B. Implementation Plan'!P176*(1-'B. Implementation Plan'!P147)^($C520-1),J496*(1-'B. Implementation Plan'!P175)*'B. Implementation Plan'!P176*(1-'B. Implementation Plan'!P147)^($C520-1)),0),0)</f>
        <v>0</v>
      </c>
      <c r="P520" s="78" t="str">
        <f t="shared" si="363"/>
        <v/>
      </c>
    </row>
    <row r="521" spans="3:16" s="365" customFormat="1" x14ac:dyDescent="0.3">
      <c r="C521" s="370">
        <v>7</v>
      </c>
      <c r="E521"/>
      <c r="F521"/>
      <c r="G521"/>
      <c r="H521"/>
      <c r="I521"/>
      <c r="J521"/>
      <c r="K521"/>
      <c r="L521" s="347">
        <f>IF($C521&lt;=ROUNDUP('B. Implementation Plan'!P177,0),ROUND(IF(AND($C521-'B. Implementation Plan'!P177&lt;1,$C521-'B. Implementation Plan'!P177&gt;0),MOD('B. Implementation Plan'!P177,1)*(E496+L496)*(1-'B. Implementation Plan'!P175)*'B. Implementation Plan'!P176*(1-'B. Implementation Plan'!P147)^($C521-1),(E496+L496)*(1-'B. Implementation Plan'!P175)*'B. Implementation Plan'!P176*(1-'B. Implementation Plan'!P147)^($C521-1)),0),0)</f>
        <v>0</v>
      </c>
      <c r="M521" s="347">
        <f>IF($C521&lt;=ROUNDUP('B. Implementation Plan'!P177,0),ROUND(IF(AND($C521-'B. Implementation Plan'!P177&lt;1,$C521-'B. Implementation Plan'!P177&gt;0),MOD('B. Implementation Plan'!P177,1)*G496*(1-'B. Implementation Plan'!P175)*'B. Implementation Plan'!P176*(1-'B. Implementation Plan'!P147)^($C521-1),G496*(1-'B. Implementation Plan'!P175)*'B. Implementation Plan'!P176*(1-'B. Implementation Plan'!P147)^($C521-1)),0),0)</f>
        <v>0</v>
      </c>
      <c r="N521" s="347">
        <f>IF($C521&lt;=ROUNDUP('B. Implementation Plan'!P177,0),ROUND(IF(AND($C521-'B. Implementation Plan'!P177&lt;1,$C521-'B. Implementation Plan'!P177&gt;0),MOD('B. Implementation Plan'!P177,1)*H496*(1-'B. Implementation Plan'!P175)*'B. Implementation Plan'!P176*(1-'B. Implementation Plan'!P147)^($C521-1),H496*(1-'B. Implementation Plan'!P175)*'B. Implementation Plan'!P176*(1-'B. Implementation Plan'!P147)^($C521-1)),0),0)</f>
        <v>0</v>
      </c>
      <c r="O521" s="347">
        <f>IF($C521&lt;=ROUNDUP('B. Implementation Plan'!P177,0),ROUND(IF(AND($C521-'B. Implementation Plan'!P177&lt;1,$C521-'B. Implementation Plan'!P177&gt;0),MOD('B. Implementation Plan'!P177,1)*I496*(1-'B. Implementation Plan'!P175)*'B. Implementation Plan'!P176*(1-'B. Implementation Plan'!P147)^($C521-1),I496*(1-'B. Implementation Plan'!P175)*'B. Implementation Plan'!P176*(1-'B. Implementation Plan'!P147)^($C521-1)),0),0)</f>
        <v>0</v>
      </c>
      <c r="P521" s="78" t="str">
        <f t="shared" si="363"/>
        <v/>
      </c>
    </row>
    <row r="522" spans="3:16" s="365" customFormat="1" x14ac:dyDescent="0.3">
      <c r="C522" s="370">
        <v>8</v>
      </c>
      <c r="E522"/>
      <c r="F522"/>
      <c r="G522"/>
      <c r="H522"/>
      <c r="I522"/>
      <c r="J522"/>
      <c r="K522"/>
      <c r="L522"/>
      <c r="M522" s="347">
        <f>IF($C522&lt;=ROUNDUP('B. Implementation Plan'!P177,0),ROUND(IF(AND($C522-'B. Implementation Plan'!P177&lt;1,$C522-'B. Implementation Plan'!P177&gt;0),MOD('B. Implementation Plan'!P177,1)*(E496+M496)*(1-'B. Implementation Plan'!P175)*'B. Implementation Plan'!P176*(1-'B. Implementation Plan'!P147)^($C522-1),(E496+M496)*(1-'B. Implementation Plan'!P175)*'B. Implementation Plan'!P176*(1-'B. Implementation Plan'!P147)^($C522-1)),0),0)</f>
        <v>0</v>
      </c>
      <c r="N522" s="347">
        <f>IF($C522&lt;=ROUNDUP('B. Implementation Plan'!P177,0),ROUND(IF(AND($C522-'B. Implementation Plan'!P177&lt;1,$C522-'B. Implementation Plan'!P177&gt;0),MOD('B. Implementation Plan'!P177,1)*G496*(1-'B. Implementation Plan'!P175)*'B. Implementation Plan'!P176*(1-'B. Implementation Plan'!P147)^($C522-1),G496*(1-'B. Implementation Plan'!P175)*'B. Implementation Plan'!P176*(1-'B. Implementation Plan'!P147)^($C522-1)),0),0)</f>
        <v>0</v>
      </c>
      <c r="O522" s="347">
        <f>IF($C522&lt;=ROUNDUP('B. Implementation Plan'!P177,0),ROUND(IF(AND($C522-'B. Implementation Plan'!P177&lt;1,$C522-'B. Implementation Plan'!P177&gt;0),MOD('B. Implementation Plan'!P177,1)*H496*(1-'B. Implementation Plan'!P175)*'B. Implementation Plan'!P176*(1-'B. Implementation Plan'!P147)^($C522-1),H496*(1-'B. Implementation Plan'!P175)*'B. Implementation Plan'!P176*(1-'B. Implementation Plan'!P147)^($C522-1)),0),0)</f>
        <v>0</v>
      </c>
      <c r="P522" s="78" t="str">
        <f t="shared" si="363"/>
        <v/>
      </c>
    </row>
    <row r="523" spans="3:16" s="365" customFormat="1" x14ac:dyDescent="0.3">
      <c r="C523" s="370">
        <v>9</v>
      </c>
      <c r="E523"/>
      <c r="F523"/>
      <c r="G523"/>
      <c r="H523"/>
      <c r="I523"/>
      <c r="J523"/>
      <c r="K523"/>
      <c r="L523"/>
      <c r="M523"/>
      <c r="N523" s="347">
        <f>IF($C523&lt;=ROUNDUP('B. Implementation Plan'!P177,0),ROUND(IF(AND($C523-'B. Implementation Plan'!P177&lt;1,$C523-'B. Implementation Plan'!P177&gt;0),MOD('B. Implementation Plan'!P177,1)*(E496+N496)*(1-'B. Implementation Plan'!P175)*'B. Implementation Plan'!P176*(1-'B. Implementation Plan'!P147)^($C523-1),(E496+N496)*(1-'B. Implementation Plan'!P175)*'B. Implementation Plan'!P176*(1-'B. Implementation Plan'!P147)^($C523-1)),0),0)</f>
        <v>0</v>
      </c>
      <c r="O523" s="347">
        <f>IF($C523&lt;=ROUNDUP('B. Implementation Plan'!P177,0),ROUND(IF(AND($C523-'B. Implementation Plan'!P177&lt;1,$C523-'B. Implementation Plan'!P177&gt;0),MOD('B. Implementation Plan'!P177,1)*G496*(1-'B. Implementation Plan'!P175)*'B. Implementation Plan'!P176*(1-'B. Implementation Plan'!P147)^($C523-1),G496*(1-'B. Implementation Plan'!P175)*'B. Implementation Plan'!P176*(1-'B. Implementation Plan'!P147)^($C523-1)),0),0)</f>
        <v>0</v>
      </c>
      <c r="P523" s="78" t="str">
        <f t="shared" si="363"/>
        <v/>
      </c>
    </row>
    <row r="524" spans="3:16" s="365" customFormat="1" x14ac:dyDescent="0.3">
      <c r="C524" s="370">
        <v>10</v>
      </c>
      <c r="E524"/>
      <c r="F524"/>
      <c r="G524"/>
      <c r="H524"/>
      <c r="I524"/>
      <c r="J524"/>
      <c r="K524"/>
      <c r="L524"/>
      <c r="M524"/>
      <c r="N524" s="19"/>
      <c r="O524" s="347">
        <f>IF($C524&lt;=ROUNDUP('B. Implementation Plan'!P177,0),ROUND(IF(AND($C524-'B. Implementation Plan'!P177&lt;1,$C524-'B. Implementation Plan'!P177&gt;0),MOD('B. Implementation Plan'!P177,1)*(E496+O496)*(1-'B. Implementation Plan'!P175)*'B. Implementation Plan'!P176*(1-'B. Implementation Plan'!P147)^($C524-1),(E496+O496)*(1-'B. Implementation Plan'!P175)*'B. Implementation Plan'!P176*(1-'B. Implementation Plan'!P147)^($C524-1)),0),0)</f>
        <v>0</v>
      </c>
      <c r="P524" s="78" t="str">
        <f t="shared" si="363"/>
        <v/>
      </c>
    </row>
    <row r="525" spans="3:16" s="1" customFormat="1" x14ac:dyDescent="0.3">
      <c r="C525" s="376" t="s">
        <v>489</v>
      </c>
      <c r="E525"/>
      <c r="F525" s="371">
        <f t="shared" ref="F525:O525" ca="1" si="364">IF(F491&gt;0,SUM(F515:F524),0)</f>
        <v>0</v>
      </c>
      <c r="G525" s="371">
        <f t="shared" ca="1" si="364"/>
        <v>0</v>
      </c>
      <c r="H525" s="371">
        <f t="shared" ca="1" si="364"/>
        <v>0</v>
      </c>
      <c r="I525" s="371">
        <f t="shared" ca="1" si="364"/>
        <v>0</v>
      </c>
      <c r="J525" s="371">
        <f t="shared" ca="1" si="364"/>
        <v>0</v>
      </c>
      <c r="K525" s="371">
        <f t="shared" ca="1" si="364"/>
        <v>0</v>
      </c>
      <c r="L525" s="371">
        <f t="shared" ca="1" si="364"/>
        <v>0</v>
      </c>
      <c r="M525" s="371">
        <f t="shared" ca="1" si="364"/>
        <v>0</v>
      </c>
      <c r="N525" s="371">
        <f t="shared" ca="1" si="364"/>
        <v>0</v>
      </c>
      <c r="O525" s="371">
        <f t="shared" ca="1" si="364"/>
        <v>0</v>
      </c>
      <c r="P525" s="325">
        <f ca="1">SUM(E525:O525)</f>
        <v>0</v>
      </c>
    </row>
    <row r="526" spans="3:16" s="1" customFormat="1" x14ac:dyDescent="0.3">
      <c r="C526" s="353" t="s">
        <v>490</v>
      </c>
      <c r="E526"/>
      <c r="F526" s="324">
        <f ca="1">MIN(IFERROR(ROUNDUP(IF(F491&gt;0,INDEX(F515:F524,MATCH(9.99999999999999E+307,P515:P524))/IF(MOD('B. Implementation Plan'!P177,1)=0,1,MOD('B. Implementation Plan'!P177,1)),0),0),0),MAX(E515:E524))</f>
        <v>0</v>
      </c>
      <c r="G526" s="324">
        <f ca="1">MIN(IFERROR(ROUNDUP(IF(G491&gt;0,INDEX(G515:G524,MATCH(9.99999999999999E+307,P515:P524))/IF(MOD('B. Implementation Plan'!P177,1)=0,1,MOD('B. Implementation Plan'!P177,1)),0),0),0),MAX(E515:F524))</f>
        <v>0</v>
      </c>
      <c r="H526" s="324">
        <f ca="1">MIN(IFERROR(ROUNDUP(IF(H491&gt;0,INDEX(H515:H524,MATCH(9.99999999999999E+307,P515:P524))/IF(MOD('B. Implementation Plan'!P177,1)=0,1,MOD('B. Implementation Plan'!P177,1)),0),0),0),MAX(E515:G524))</f>
        <v>0</v>
      </c>
      <c r="I526" s="324">
        <f ca="1">MIN(IFERROR(ROUNDUP(IF(I491&gt;0,INDEX(I515:I524,MATCH(9.99999999999999E+307,P515:P524))/IF(MOD('B. Implementation Plan'!P177,1)=0,1,MOD('B. Implementation Plan'!P177,1)),0),0),0),MAX(E515:H524))</f>
        <v>0</v>
      </c>
      <c r="J526" s="324">
        <f ca="1">MIN(IFERROR(ROUNDUP(IF(J491&gt;0,INDEX(J515:J524,MATCH(9.99999999999999E+307,P515:P524))/IF(MOD('B. Implementation Plan'!P177,1)=0,1,MOD('B. Implementation Plan'!P177,1)),0),0),0),MAX(E515:I524))</f>
        <v>0</v>
      </c>
      <c r="K526" s="324">
        <f ca="1">MIN(IFERROR(ROUNDUP(IF(K491&gt;0,INDEX(K515:K524,MATCH(9.99999999999999E+307,P515:P524))/IF(MOD('B. Implementation Plan'!P177,1)=0,1,MOD('B. Implementation Plan'!P177,1)),0),0),0),MAX(E515:J524))</f>
        <v>0</v>
      </c>
      <c r="L526" s="324">
        <f ca="1">MIN(IFERROR(ROUNDUP(IF(L491&gt;0,INDEX(L515:L524,MATCH(9.99999999999999E+307,P515:P524))/IF(MOD('B. Implementation Plan'!P177,1)=0,1,MOD('B. Implementation Plan'!P177,1)),0),0),0),MAX(E515:K524))</f>
        <v>0</v>
      </c>
      <c r="M526" s="324">
        <f ca="1">MIN(IFERROR(ROUNDUP(IF(M491&gt;0,INDEX(M515:M524,MATCH(9.99999999999999E+307,P515:P524))/IF(MOD('B. Implementation Plan'!P177,1)=0,1,MOD('B. Implementation Plan'!P177,1)),0),0),0),MAX(E515:L524))</f>
        <v>0</v>
      </c>
      <c r="N526" s="324">
        <f ca="1">MIN(IFERROR(ROUNDUP(IF(N491&gt;0,INDEX(N515:N524,MATCH(9.99999999999999E+307,P515:P524))/IF(MOD('B. Implementation Plan'!P177,1)=0,1,MOD('B. Implementation Plan'!P177,1)),0),0),0),MAX(E515:M524))</f>
        <v>0</v>
      </c>
      <c r="O526" s="324">
        <f ca="1">MIN(IFERROR(ROUNDUP(IF(O491&gt;0,INDEX(O515:O524,MATCH(9.99999999999999E+307,P515:P524))/IF(MOD('B. Implementation Plan'!P177,1)=0,1,MOD('B. Implementation Plan'!P177,1)),0),0),0),MAX(E515:N524))</f>
        <v>0</v>
      </c>
      <c r="P526" s="325">
        <f ca="1">SUM(E526:O526)</f>
        <v>0</v>
      </c>
    </row>
    <row r="527" spans="3:16" s="365" customFormat="1" x14ac:dyDescent="0.3">
      <c r="C527" s="326" t="s">
        <v>494</v>
      </c>
      <c r="E527"/>
      <c r="F527" s="347">
        <f ca="1">ROUNDUP(IF(F491&gt;0,IF(SUM(E526:F526,E527:E527)*'B. Implementation Plan'!P147&gt;P526,0,-ROUND(SUM(E526:F526,E527:E527)*'B. Implementation Plan'!P147,0)),0),0)</f>
        <v>0</v>
      </c>
      <c r="G527" s="347">
        <f ca="1">ROUNDUP(IF(G491&gt;0,IF(SUM(E526:G526,E527:F527)*'B. Implementation Plan'!P147&gt;P526,0,-ROUND(SUM(E526:G526,E527:F527)*'B. Implementation Plan'!P147,0)),0),0)</f>
        <v>0</v>
      </c>
      <c r="H527" s="347">
        <f ca="1">ROUNDUP(IF(H491&gt;0,IF(SUM(E526:H526,E527:G527)*'B. Implementation Plan'!P147&gt;P526,0,-ROUND(SUM(E526:H526,E527:G527)*'B. Implementation Plan'!P147,0)),0),0)</f>
        <v>0</v>
      </c>
      <c r="I527" s="347">
        <f ca="1">ROUNDUP(IF(I491&gt;0,IF(SUM(E526:I526,E527:H527)*'B. Implementation Plan'!P147&gt;P526,0,-ROUND(SUM(E526:I526,E527:H527)*'B. Implementation Plan'!P147,0)),0),0)</f>
        <v>0</v>
      </c>
      <c r="J527" s="347">
        <f ca="1">ROUNDUP(IF(J491&gt;0,IF(SUM(E526:J526,E527:I527)*'B. Implementation Plan'!P147&gt;P526,0,-ROUND(SUM(E526:J526,E527:I527)*'B. Implementation Plan'!P147,0)),0),0)</f>
        <v>0</v>
      </c>
      <c r="K527" s="347">
        <f ca="1">ROUNDUP(IF(K491&gt;0,IF(SUM(E526:K526,E527:J527)*'B. Implementation Plan'!P147&gt;P526,0,-ROUND(SUM(E526:K526,E527:J527)*'B. Implementation Plan'!P147,0)),0),0)</f>
        <v>0</v>
      </c>
      <c r="L527" s="347">
        <f ca="1">ROUNDUP(IF(L491&gt;0,IF(SUM(E526:L526,E527:K527)*'B. Implementation Plan'!P147&gt;P526,0,-ROUND(SUM(E526:L526,E527:K527)*'B. Implementation Plan'!P147,0)),0),0)</f>
        <v>0</v>
      </c>
      <c r="M527" s="347">
        <f ca="1">ROUNDUP(IF(M491&gt;0,IF(SUM(E526:M526,E527:L527)*'B. Implementation Plan'!P147&gt;P526,0,-ROUND(SUM(E526:M526,E527:L527)*'B. Implementation Plan'!P147,0)),0),0)</f>
        <v>0</v>
      </c>
      <c r="N527" s="347">
        <f ca="1">ROUNDUP(IF(N491&gt;0,IF(SUM(E526:N526,E527:M527)*'B. Implementation Plan'!P147&gt;P526,0,-ROUND(SUM(E526:N526,E527:M527)*'B. Implementation Plan'!P147,0)),0),0)</f>
        <v>0</v>
      </c>
      <c r="O527" s="347">
        <f ca="1">ROUNDUP(IF(O491&gt;0,IF(SUM(E526:O526,E527:N527)*'B. Implementation Plan'!P147&gt;P526,0,-ROUND(SUM(E526:O526,E527:N527)*'B. Implementation Plan'!P147,0)),0),0)</f>
        <v>0</v>
      </c>
      <c r="P527" s="354">
        <f ca="1">SUM(E527:O527)</f>
        <v>0</v>
      </c>
    </row>
    <row r="528" spans="3:16" s="365" customFormat="1" ht="15" thickBot="1" x14ac:dyDescent="0.35">
      <c r="C528" s="326" t="s">
        <v>495</v>
      </c>
      <c r="E528"/>
      <c r="F528" s="347">
        <f ca="1">IF(F491&gt;0,SUM(E526:F527),0)</f>
        <v>0</v>
      </c>
      <c r="G528" s="347">
        <f ca="1">IF(G491&gt;0,SUM(E526:G527),0)</f>
        <v>0</v>
      </c>
      <c r="H528" s="347">
        <f ca="1">IF(H491&gt;0,SUM(E526:H527),0)</f>
        <v>0</v>
      </c>
      <c r="I528" s="347">
        <f ca="1">IF(I491&gt;0,SUM(E526:I527),0)</f>
        <v>0</v>
      </c>
      <c r="J528" s="347">
        <f ca="1">IF(J491&gt;0,SUM(E526:J527),0)</f>
        <v>0</v>
      </c>
      <c r="K528" s="347">
        <f ca="1">IF(K491&gt;0,SUM(E526:K527),0)</f>
        <v>0</v>
      </c>
      <c r="L528" s="347">
        <f ca="1">IF(L491&gt;0,SUM(E526:L527),0)</f>
        <v>0</v>
      </c>
      <c r="M528" s="347">
        <f ca="1">IF(M491&gt;0,SUM(E526:M527),0)</f>
        <v>0</v>
      </c>
      <c r="N528" s="347">
        <f ca="1">IF(N491&gt;0,SUM(E526:N527),0)</f>
        <v>0</v>
      </c>
      <c r="O528" s="369">
        <f ca="1">IF(O491&gt;0,SUM(E526:O527),0)</f>
        <v>0</v>
      </c>
      <c r="P528" s="375">
        <f t="shared" ref="P528" ca="1" si="365">IF(O528=0,IF(N528=0,IF(M528=0,IF(L528=0,IF(K528=0,IF(J528=0,IF(I528=0,IF(H528=0,IF(G528=0,IF(F528=0,E528,F528),G528),H528),I528),J528),K528),L528),M528),N528),O528)</f>
        <v>0</v>
      </c>
    </row>
    <row r="529" spans="1:16" ht="16.2" thickBot="1" x14ac:dyDescent="0.35">
      <c r="C529" s="16" t="s">
        <v>496</v>
      </c>
      <c r="E529" s="149">
        <v>0</v>
      </c>
      <c r="F529" s="149">
        <v>1</v>
      </c>
      <c r="G529" s="149">
        <v>2</v>
      </c>
      <c r="H529" s="149">
        <v>3</v>
      </c>
      <c r="I529" s="149">
        <v>4</v>
      </c>
      <c r="J529" s="149">
        <v>5</v>
      </c>
      <c r="K529" s="149">
        <v>6</v>
      </c>
      <c r="L529" s="149">
        <v>7</v>
      </c>
      <c r="M529" s="149">
        <v>8</v>
      </c>
      <c r="N529" s="149">
        <v>9</v>
      </c>
      <c r="O529" s="149">
        <v>10</v>
      </c>
      <c r="P529"/>
    </row>
    <row r="530" spans="1:16" s="1" customFormat="1" x14ac:dyDescent="0.3">
      <c r="C530" s="326" t="s">
        <v>500</v>
      </c>
      <c r="E530" s="372">
        <f ca="1">ROUNDUP(E493*'B. Implementation Plan'!G169+(E491-E493)*'B. Implementation Plan'!P175,0)</f>
        <v>0</v>
      </c>
      <c r="F530" s="372">
        <f ca="1">ROUNDUP(F493*'B. Implementation Plan'!G169+(F491-F493)*'B. Implementation Plan'!P175,0)</f>
        <v>0</v>
      </c>
      <c r="G530" s="372">
        <f ca="1">ROUNDUP(G493*'B. Implementation Plan'!G169+(G491-G493)*'B. Implementation Plan'!P175,0)</f>
        <v>0</v>
      </c>
      <c r="H530" s="372">
        <f ca="1">ROUNDUP(H493*'B. Implementation Plan'!G169+(H491-H493)*'B. Implementation Plan'!P175,0)</f>
        <v>0</v>
      </c>
      <c r="I530" s="372">
        <f ca="1">ROUNDUP(I493*'B. Implementation Plan'!G169+(I491-I493)*'B. Implementation Plan'!P175,0)</f>
        <v>0</v>
      </c>
      <c r="J530" s="372">
        <f ca="1">ROUNDUP(J493*'B. Implementation Plan'!G169+(J491-J493)*'B. Implementation Plan'!P175,0)</f>
        <v>0</v>
      </c>
      <c r="K530" s="372">
        <f ca="1">ROUNDUP(K493*'B. Implementation Plan'!G169+(K491-K493)*'B. Implementation Plan'!P175,0)</f>
        <v>0</v>
      </c>
      <c r="L530" s="372">
        <f ca="1">ROUNDUP(L493*'B. Implementation Plan'!G169+(L491-L493)*'B. Implementation Plan'!P175,0)</f>
        <v>0</v>
      </c>
      <c r="M530" s="372">
        <f ca="1">ROUNDUP(M493*'B. Implementation Plan'!G169+(M491-M493)*'B. Implementation Plan'!P175,0)</f>
        <v>0</v>
      </c>
      <c r="N530" s="372">
        <f ca="1">ROUNDUP(N493*'B. Implementation Plan'!G169+(N491-N493)*'B. Implementation Plan'!P175,0)</f>
        <v>0</v>
      </c>
      <c r="O530" s="372">
        <f ca="1">ROUNDUP(O493*'B. Implementation Plan'!G169+(O491-O493)*'B. Implementation Plan'!P175,0)</f>
        <v>0</v>
      </c>
      <c r="P530" s="379">
        <f t="shared" ref="P530:P531" ca="1" si="366">IF(O530=0,IF(N530=0,IF(M530=0,IF(L530=0,IF(K530=0,IF(J530=0,IF(I530=0,IF(H530=0,IF(G530=0,IF(F530=0,E530,F530),G530),H530),I530),J530),K530),L530),M530),N530),O530)</f>
        <v>0</v>
      </c>
    </row>
    <row r="531" spans="1:16" s="1" customFormat="1" x14ac:dyDescent="0.3">
      <c r="C531" s="326" t="s">
        <v>497</v>
      </c>
      <c r="E531" s="378">
        <f t="shared" ref="E531:O531" ca="1" si="367">IF(E491&gt;0,E530/E491,0)</f>
        <v>0</v>
      </c>
      <c r="F531" s="378">
        <f t="shared" ca="1" si="367"/>
        <v>0</v>
      </c>
      <c r="G531" s="378">
        <f t="shared" ca="1" si="367"/>
        <v>0</v>
      </c>
      <c r="H531" s="378">
        <f t="shared" ca="1" si="367"/>
        <v>0</v>
      </c>
      <c r="I531" s="378">
        <f t="shared" ca="1" si="367"/>
        <v>0</v>
      </c>
      <c r="J531" s="378">
        <f t="shared" ca="1" si="367"/>
        <v>0</v>
      </c>
      <c r="K531" s="378">
        <f t="shared" ca="1" si="367"/>
        <v>0</v>
      </c>
      <c r="L531" s="378">
        <f t="shared" ca="1" si="367"/>
        <v>0</v>
      </c>
      <c r="M531" s="378">
        <f t="shared" ca="1" si="367"/>
        <v>0</v>
      </c>
      <c r="N531" s="378">
        <f t="shared" ca="1" si="367"/>
        <v>0</v>
      </c>
      <c r="O531" s="378">
        <f t="shared" ca="1" si="367"/>
        <v>0</v>
      </c>
      <c r="P531" s="111">
        <f t="shared" ca="1" si="366"/>
        <v>0</v>
      </c>
    </row>
    <row r="532" spans="1:16" s="365" customFormat="1" x14ac:dyDescent="0.3">
      <c r="C532" s="326" t="s">
        <v>498</v>
      </c>
      <c r="F532" s="372">
        <f t="shared" ref="F532:O532" ca="1" si="368">F509+F525</f>
        <v>0</v>
      </c>
      <c r="G532" s="372">
        <f t="shared" ca="1" si="368"/>
        <v>0</v>
      </c>
      <c r="H532" s="372">
        <f t="shared" ca="1" si="368"/>
        <v>0</v>
      </c>
      <c r="I532" s="372">
        <f t="shared" ca="1" si="368"/>
        <v>0</v>
      </c>
      <c r="J532" s="372">
        <f t="shared" ca="1" si="368"/>
        <v>0</v>
      </c>
      <c r="K532" s="372">
        <f t="shared" ca="1" si="368"/>
        <v>0</v>
      </c>
      <c r="L532" s="372">
        <f t="shared" ca="1" si="368"/>
        <v>0</v>
      </c>
      <c r="M532" s="372">
        <f t="shared" ca="1" si="368"/>
        <v>0</v>
      </c>
      <c r="N532" s="372">
        <f t="shared" ca="1" si="368"/>
        <v>0</v>
      </c>
      <c r="O532" s="372">
        <f t="shared" ca="1" si="368"/>
        <v>0</v>
      </c>
      <c r="P532" s="354">
        <f ca="1">MAX(F532:O532)</f>
        <v>0</v>
      </c>
    </row>
    <row r="533" spans="1:16" s="1" customFormat="1" x14ac:dyDescent="0.3">
      <c r="C533" s="326" t="s">
        <v>544</v>
      </c>
      <c r="F533" s="371">
        <f ca="1">F512+F528</f>
        <v>0</v>
      </c>
      <c r="G533" s="371">
        <f t="shared" ref="G533:O533" ca="1" si="369">G512+G528</f>
        <v>0</v>
      </c>
      <c r="H533" s="371">
        <f t="shared" ca="1" si="369"/>
        <v>0</v>
      </c>
      <c r="I533" s="371">
        <f t="shared" ca="1" si="369"/>
        <v>0</v>
      </c>
      <c r="J533" s="371">
        <f t="shared" ca="1" si="369"/>
        <v>0</v>
      </c>
      <c r="K533" s="371">
        <f t="shared" ca="1" si="369"/>
        <v>0</v>
      </c>
      <c r="L533" s="371">
        <f t="shared" ca="1" si="369"/>
        <v>0</v>
      </c>
      <c r="M533" s="371">
        <f t="shared" ca="1" si="369"/>
        <v>0</v>
      </c>
      <c r="N533" s="371">
        <f t="shared" ca="1" si="369"/>
        <v>0</v>
      </c>
      <c r="O533" s="371">
        <f t="shared" ca="1" si="369"/>
        <v>0</v>
      </c>
      <c r="P533" s="354">
        <f t="shared" ref="P533" ca="1" si="370">IF(O533=0,IF(N533=0,IF(M533=0,IF(L533=0,IF(K533=0,IF(J533=0,IF(I533=0,IF(H533=0,IF(G533=0,IF(F533=0,E533,F533),G533),H533),I533),J533),K533),L533),M533),N533),O533)</f>
        <v>0</v>
      </c>
    </row>
    <row r="534" spans="1:16" s="1" customFormat="1" ht="15" thickBot="1" x14ac:dyDescent="0.35">
      <c r="C534" s="353" t="s">
        <v>525</v>
      </c>
      <c r="E534" s="373">
        <f t="shared" ref="E534:O534" ca="1" si="371">IFERROR((E530+E533)/E491,0)</f>
        <v>0</v>
      </c>
      <c r="F534" s="373">
        <f t="shared" ca="1" si="371"/>
        <v>0</v>
      </c>
      <c r="G534" s="373">
        <f t="shared" ca="1" si="371"/>
        <v>0</v>
      </c>
      <c r="H534" s="373">
        <f t="shared" ca="1" si="371"/>
        <v>0</v>
      </c>
      <c r="I534" s="373">
        <f t="shared" ca="1" si="371"/>
        <v>0</v>
      </c>
      <c r="J534" s="373">
        <f t="shared" ca="1" si="371"/>
        <v>0</v>
      </c>
      <c r="K534" s="373">
        <f t="shared" ca="1" si="371"/>
        <v>0</v>
      </c>
      <c r="L534" s="373">
        <f t="shared" ca="1" si="371"/>
        <v>0</v>
      </c>
      <c r="M534" s="373">
        <f t="shared" ca="1" si="371"/>
        <v>0</v>
      </c>
      <c r="N534" s="373">
        <f t="shared" ca="1" si="371"/>
        <v>0</v>
      </c>
      <c r="O534" s="373">
        <f t="shared" ca="1" si="371"/>
        <v>0</v>
      </c>
      <c r="P534" s="190">
        <f t="shared" ref="P534" ca="1" si="372">IF(O534=0,IF(N534=0,IF(M534=0,IF(L534=0,IF(K534=0,IF(J534=0,IF(I534=0,IF(H534=0,IF(G534=0,IF(F534=0,E534,F534),G534),H534),I534),J534),K534),L534),M534),N534),O534)</f>
        <v>0</v>
      </c>
    </row>
    <row r="535" spans="1:16" x14ac:dyDescent="0.3">
      <c r="P535"/>
    </row>
    <row r="536" spans="1:16" ht="15" thickBot="1" x14ac:dyDescent="0.35">
      <c r="P536"/>
    </row>
    <row r="537" spans="1:16" s="67" customFormat="1" ht="15.6" x14ac:dyDescent="0.3">
      <c r="A537" s="62"/>
      <c r="B537" s="62" t="s">
        <v>536</v>
      </c>
      <c r="D537" s="65"/>
      <c r="E537" s="66">
        <v>0</v>
      </c>
      <c r="F537" s="66">
        <v>1</v>
      </c>
      <c r="G537" s="66">
        <v>2</v>
      </c>
      <c r="H537" s="66">
        <v>3</v>
      </c>
      <c r="I537" s="66">
        <v>4</v>
      </c>
      <c r="J537" s="66">
        <v>5</v>
      </c>
      <c r="K537" s="66">
        <v>6</v>
      </c>
      <c r="L537" s="66">
        <v>7</v>
      </c>
      <c r="M537" s="66">
        <v>8</v>
      </c>
      <c r="N537" s="66">
        <v>9</v>
      </c>
      <c r="O537" s="213">
        <v>10</v>
      </c>
      <c r="P537" s="351" t="s">
        <v>2</v>
      </c>
    </row>
    <row r="538" spans="1:16" x14ac:dyDescent="0.3">
      <c r="A538" s="1"/>
      <c r="B538" s="1"/>
      <c r="C538" s="326" t="s">
        <v>502</v>
      </c>
      <c r="D538" s="368"/>
      <c r="E538" s="15">
        <f ca="1">E118</f>
        <v>0</v>
      </c>
      <c r="F538" s="15">
        <f t="shared" ref="F538:O538" ca="1" si="373">F118</f>
        <v>0</v>
      </c>
      <c r="G538" s="15">
        <f t="shared" ca="1" si="373"/>
        <v>0</v>
      </c>
      <c r="H538" s="15">
        <f t="shared" ca="1" si="373"/>
        <v>0</v>
      </c>
      <c r="I538" s="15">
        <f t="shared" ca="1" si="373"/>
        <v>0</v>
      </c>
      <c r="J538" s="15">
        <f t="shared" ca="1" si="373"/>
        <v>0</v>
      </c>
      <c r="K538" s="15">
        <f t="shared" ca="1" si="373"/>
        <v>0</v>
      </c>
      <c r="L538" s="15">
        <f t="shared" ca="1" si="373"/>
        <v>0</v>
      </c>
      <c r="M538" s="15">
        <f t="shared" ca="1" si="373"/>
        <v>0</v>
      </c>
      <c r="N538" s="15">
        <f t="shared" ca="1" si="373"/>
        <v>0</v>
      </c>
      <c r="O538" s="15">
        <f t="shared" ca="1" si="373"/>
        <v>0</v>
      </c>
      <c r="P538" s="78">
        <f ca="1">IF(O538=0,IF(N538=0,IF(M538=0,IF(L538=0,IF(K538=0,IF(J538=0,IF(I538=0,IF(H538=0,IF(G538=0,IF(F538=0,E538,F538),G538),H538),I538),J538),K538),L538),M538),N538),O538)</f>
        <v>0</v>
      </c>
    </row>
    <row r="539" spans="1:16" x14ac:dyDescent="0.3">
      <c r="A539" s="1"/>
      <c r="B539" s="1"/>
      <c r="C539" s="326" t="s">
        <v>503</v>
      </c>
      <c r="D539" s="296"/>
      <c r="E539" s="15">
        <f ca="1">IF(E538&gt;0,'B. Implementation Plan'!E191,0)</f>
        <v>0</v>
      </c>
      <c r="F539" s="15">
        <f ca="1">IF(F538&gt;0,'B. Implementation Plan'!E191,0)</f>
        <v>0</v>
      </c>
      <c r="G539" s="15">
        <f ca="1">IF(G538&gt;0,'B. Implementation Plan'!E191,0)</f>
        <v>0</v>
      </c>
      <c r="H539" s="15">
        <f ca="1">IF(H538&gt;0,'B. Implementation Plan'!E191,0)</f>
        <v>0</v>
      </c>
      <c r="I539" s="15">
        <f ca="1">IF(I538&gt;0,'B. Implementation Plan'!E191,0)</f>
        <v>0</v>
      </c>
      <c r="J539" s="15">
        <f ca="1">IF(J538&gt;0,'B. Implementation Plan'!E191,0)</f>
        <v>0</v>
      </c>
      <c r="K539" s="15">
        <f ca="1">IF(K538&gt;0,'B. Implementation Plan'!E191,0)</f>
        <v>0</v>
      </c>
      <c r="L539" s="15">
        <f ca="1">IF(L538&gt;0,'B. Implementation Plan'!E191,0)</f>
        <v>0</v>
      </c>
      <c r="M539" s="15">
        <f ca="1">IF(M538&gt;0,'B. Implementation Plan'!E191,0)</f>
        <v>0</v>
      </c>
      <c r="N539" s="15">
        <f ca="1">IF(N538&gt;0,'B. Implementation Plan'!E191,0)</f>
        <v>0</v>
      </c>
      <c r="O539" s="15">
        <f ca="1">IF(O538&gt;0,'B. Implementation Plan'!E191,0)</f>
        <v>0</v>
      </c>
      <c r="P539" s="78">
        <f ca="1">IF(O539=0,IF(N539=0,IF(M539=0,IF(L539=0,IF(K539=0,IF(J539=0,IF(I539=0,IF(H539=0,IF(G539=0,IF(F539=0,E539,F539),G539),H539),I539),J539),K539),L539),M539),N539),O539)</f>
        <v>0</v>
      </c>
    </row>
    <row r="540" spans="1:16" x14ac:dyDescent="0.3">
      <c r="C540" s="59" t="s">
        <v>504</v>
      </c>
      <c r="E540" s="324">
        <f ca="1">IF(E538&gt;0,ROUND('B. Implementation Plan'!E191*(1-'B. Implementation Plan'!P198)^E537,0),0)</f>
        <v>0</v>
      </c>
      <c r="F540" s="324">
        <f ca="1">IF(F538&gt;0,ROUND('B. Implementation Plan'!E191*(1-'B. Implementation Plan'!P198)^F537,0),0)</f>
        <v>0</v>
      </c>
      <c r="G540" s="324">
        <f ca="1">IF(G538&gt;0,ROUND('B. Implementation Plan'!E191*(1-'B. Implementation Plan'!P198)^G537,0),0)</f>
        <v>0</v>
      </c>
      <c r="H540" s="324">
        <f ca="1">IF(H538&gt;0,ROUND('B. Implementation Plan'!E191*(1-'B. Implementation Plan'!P198)^H537,0),0)</f>
        <v>0</v>
      </c>
      <c r="I540" s="324">
        <f ca="1">IF(I538&gt;0,ROUND('B. Implementation Plan'!E191*(1-'B. Implementation Plan'!P198)^I537,0),0)</f>
        <v>0</v>
      </c>
      <c r="J540" s="324">
        <f ca="1">IF(J538&gt;0,ROUND('B. Implementation Plan'!E191*(1-'B. Implementation Plan'!P198)^J537,0),0)</f>
        <v>0</v>
      </c>
      <c r="K540" s="324">
        <f ca="1">IF(K538&gt;0,ROUND('B. Implementation Plan'!E191*(1-'B. Implementation Plan'!P198)^K537,0),0)</f>
        <v>0</v>
      </c>
      <c r="L540" s="324">
        <f ca="1">IF(L538&gt;0,ROUND('B. Implementation Plan'!E191*(1-'B. Implementation Plan'!P198)^L537,0),0)</f>
        <v>0</v>
      </c>
      <c r="M540" s="324">
        <f ca="1">IF(M538&gt;0,ROUND('B. Implementation Plan'!E191*(1-'B. Implementation Plan'!P198)^M537,0),0)</f>
        <v>0</v>
      </c>
      <c r="N540" s="324">
        <f ca="1">IF(N538&gt;0,ROUND('B. Implementation Plan'!E191*(1-'B. Implementation Plan'!P198)^N537,0),0)</f>
        <v>0</v>
      </c>
      <c r="O540" s="324">
        <f ca="1">IF(O538&gt;0,ROUND('B. Implementation Plan'!E191*(1-'B. Implementation Plan'!P198)^O537,0),0)</f>
        <v>0</v>
      </c>
      <c r="P540" s="78">
        <f ca="1">IF(O540=0,IF(N540=0,IF(M540=0,IF(L540=0,IF(K540=0,IF(J540=0,IF(I540=0,IF(H540=0,IF(G540=0,IF(F540=0,E540,F540),G540),H540),I540),J540),K540),L540),M540),N540),O540)</f>
        <v>0</v>
      </c>
    </row>
    <row r="541" spans="1:16" s="1" customFormat="1" x14ac:dyDescent="0.3">
      <c r="C541" s="59" t="s">
        <v>505</v>
      </c>
      <c r="E541" s="380"/>
      <c r="F541" s="324">
        <f ca="1">IF('B. Implementation Plan'!P197=0,0,IF(F537&lt;=ROUNDUP(1/'B. Implementation Plan'!P197,0),ROUND(IF(AND(F537-1/'B. Implementation Plan'!P197&lt;1,F537-1/'B. Implementation Plan'!P197&gt;0),F540*MOD(1/'B. Implementation Plan'!P197,1)/(1/'B. Implementation Plan'!P197),MIN(F540-SUM(E541:E541),F540*'B. Implementation Plan'!P197)*(1-'B. Implementation Plan'!E192)*'B. Implementation Plan'!E194),0),0))</f>
        <v>0</v>
      </c>
      <c r="G541" s="324">
        <f>IF('B. Implementation Plan'!P197=0,0,IF(G537&lt;=ROUNDUP(1/'B. Implementation Plan'!P197,0),ROUND(IF(AND(G537-1/'B. Implementation Plan'!P197&lt;1,G537-1/'B. Implementation Plan'!P197&gt;0),G540*MOD(1/'B. Implementation Plan'!P197,1)/(1/'B. Implementation Plan'!P197),MIN(G540-SUM(E541:F541),G540*'B. Implementation Plan'!P197)*(1-'B. Implementation Plan'!E192)*'B. Implementation Plan'!E194),0),0))</f>
        <v>0</v>
      </c>
      <c r="H541" s="324">
        <f>IF('B. Implementation Plan'!P197=0,0,IF(H537&lt;=ROUNDUP(1/'B. Implementation Plan'!P197,0),ROUND(IF(AND(H537-1/'B. Implementation Plan'!P197&lt;1,H537-1/'B. Implementation Plan'!P197&gt;0),H540*MOD(1/'B. Implementation Plan'!P197,1)/(1/'B. Implementation Plan'!P197),MIN(H540-SUM(E541:G541),H540*'B. Implementation Plan'!P197)*(1-'B. Implementation Plan'!E192)*'B. Implementation Plan'!E194),0),0))</f>
        <v>0</v>
      </c>
      <c r="I541" s="324">
        <f>IF('B. Implementation Plan'!P197=0,0,IF(I537&lt;=ROUNDUP(1/'B. Implementation Plan'!P197,0),ROUND(IF(AND(I537-1/'B. Implementation Plan'!P197&lt;1,I537-1/'B. Implementation Plan'!P197&gt;0),I540*MOD(1/'B. Implementation Plan'!P197,1)/(1/'B. Implementation Plan'!P197),MIN(I540-SUM(E541:H541),I540*'B. Implementation Plan'!P197)*(1-'B. Implementation Plan'!E192)*'B. Implementation Plan'!E194),0),0))</f>
        <v>0</v>
      </c>
      <c r="J541" s="324">
        <f>IF('B. Implementation Plan'!P197=0,0,IF(J537&lt;=ROUNDUP(1/'B. Implementation Plan'!P197,0),ROUND(IF(AND(J537-1/'B. Implementation Plan'!P197&lt;1,J537-1/'B. Implementation Plan'!P197&gt;0),J540*MOD(1/'B. Implementation Plan'!P197,1)/(1/'B. Implementation Plan'!P197),MIN(J540-SUM(E541:I541),J540*'B. Implementation Plan'!P197)*(1-'B. Implementation Plan'!E192)*'B. Implementation Plan'!E194),0),0))</f>
        <v>0</v>
      </c>
      <c r="K541" s="324">
        <f>IF('B. Implementation Plan'!P197=0,0,IF(K537&lt;=ROUNDUP(1/'B. Implementation Plan'!P197,0),ROUND(IF(AND(K537-1/'B. Implementation Plan'!P197&lt;1,K537-1/'B. Implementation Plan'!P197&gt;0),K540*MOD(1/'B. Implementation Plan'!P197,1)/(1/'B. Implementation Plan'!P197),MIN(K540-SUM(E541:J541),K540*'B. Implementation Plan'!P197)*(1-'B. Implementation Plan'!E192)*'B. Implementation Plan'!E194),0),0))</f>
        <v>0</v>
      </c>
      <c r="L541" s="324">
        <f>IF('B. Implementation Plan'!P197=0,0,IF(L537&lt;=ROUNDUP(1/'B. Implementation Plan'!P197,0),ROUND(IF(AND(L537-1/'B. Implementation Plan'!P197&lt;1,L537-1/'B. Implementation Plan'!P197&gt;0),L540*MOD(1/'B. Implementation Plan'!P197,1)/(1/'B. Implementation Plan'!P197),MIN(L540-SUM(E541:K541),L540*'B. Implementation Plan'!P197)*(1-'B. Implementation Plan'!E192)*'B. Implementation Plan'!E194),0),0))</f>
        <v>0</v>
      </c>
      <c r="M541" s="324">
        <f>IF('B. Implementation Plan'!P197=0,0,IF(M537&lt;=ROUNDUP(1/'B. Implementation Plan'!P197,0),ROUND(IF(AND(M537-1/'B. Implementation Plan'!P197&lt;1,M537-1/'B. Implementation Plan'!P197&gt;0),M540*MOD(1/'B. Implementation Plan'!P197,1)/(1/'B. Implementation Plan'!P197),MIN(M540-SUM(E541:L541),M540*'B. Implementation Plan'!P197)*(1-'B. Implementation Plan'!E192)*'B. Implementation Plan'!E194),0),0))</f>
        <v>0</v>
      </c>
      <c r="N541" s="324">
        <f>IF('B. Implementation Plan'!P197=0,0,IF(N537&lt;=ROUNDUP(1/'B. Implementation Plan'!P197,0),ROUND(IF(AND(N537-1/'B. Implementation Plan'!P197&lt;1,N537-1/'B. Implementation Plan'!P197&gt;0),N540*MOD(1/'B. Implementation Plan'!P197,1)/(1/'B. Implementation Plan'!P197),MIN(N540-SUM(E541:M541),N540*'B. Implementation Plan'!P197)*(1-'B. Implementation Plan'!E192)*'B. Implementation Plan'!E194),0),0))</f>
        <v>0</v>
      </c>
      <c r="O541" s="324">
        <f>IF('B. Implementation Plan'!P197=0,0,IF(O537&lt;=ROUNDUP(1/'B. Implementation Plan'!P197,0),ROUND(IF(AND(O537-1/'B. Implementation Plan'!P197&lt;1,O537-1/'B. Implementation Plan'!P197&gt;0),O540*MOD(1/'B. Implementation Plan'!P197,1)/(1/'B. Implementation Plan'!P197),MIN(O540-SUM(E541:N541),O540*'B. Implementation Plan'!P197)*(1-'B. Implementation Plan'!E192)*'B. Implementation Plan'!E194),0),0))</f>
        <v>0</v>
      </c>
      <c r="P541" s="325">
        <f ca="1">SUM(E541:O541)</f>
        <v>0</v>
      </c>
    </row>
    <row r="542" spans="1:16" x14ac:dyDescent="0.3">
      <c r="C542" s="326" t="s">
        <v>506</v>
      </c>
      <c r="E542" s="15">
        <f t="shared" ref="E542:O542" ca="1" si="374">MAX(E538-E540,0)</f>
        <v>0</v>
      </c>
      <c r="F542" s="15">
        <f t="shared" ca="1" si="374"/>
        <v>0</v>
      </c>
      <c r="G542" s="15">
        <f t="shared" ca="1" si="374"/>
        <v>0</v>
      </c>
      <c r="H542" s="15">
        <f t="shared" ca="1" si="374"/>
        <v>0</v>
      </c>
      <c r="I542" s="15">
        <f t="shared" ca="1" si="374"/>
        <v>0</v>
      </c>
      <c r="J542" s="15">
        <f t="shared" ca="1" si="374"/>
        <v>0</v>
      </c>
      <c r="K542" s="15">
        <f t="shared" ca="1" si="374"/>
        <v>0</v>
      </c>
      <c r="L542" s="15">
        <f t="shared" ca="1" si="374"/>
        <v>0</v>
      </c>
      <c r="M542" s="15">
        <f t="shared" ca="1" si="374"/>
        <v>0</v>
      </c>
      <c r="N542" s="15">
        <f t="shared" ca="1" si="374"/>
        <v>0</v>
      </c>
      <c r="O542" s="366">
        <f t="shared" ca="1" si="374"/>
        <v>0</v>
      </c>
      <c r="P542" s="354">
        <f ca="1">IF(O542=0,IF(N542=0,IF(M542=0,IF(L542=0,IF(K542=0,IF(J542=0,IF(I542=0,IF(H542=0,IF(G542=0,IF(F542=0,E542,F542),G542),H542),I542),J542),K542),L542),M542),N542),O542)</f>
        <v>0</v>
      </c>
    </row>
    <row r="543" spans="1:16" ht="15" thickBot="1" x14ac:dyDescent="0.35">
      <c r="C543" s="59" t="s">
        <v>507</v>
      </c>
      <c r="E543" s="324">
        <f ca="1">IF(E538&gt;0,E542-D542+ROUND(D542*'B. Implementation Plan'!P198,0),0)</f>
        <v>0</v>
      </c>
      <c r="F543" s="324">
        <f ca="1">IF(F538&gt;0,F542-E542+ROUND(E542*'B. Implementation Plan'!P198,0),0)</f>
        <v>0</v>
      </c>
      <c r="G543" s="324">
        <f ca="1">IF(G538&gt;0,G542-F542+ROUND(F542*'B. Implementation Plan'!P198,0),0)</f>
        <v>0</v>
      </c>
      <c r="H543" s="324">
        <f ca="1">IF(H538&gt;0,H542-G542+ROUND(G542*'B. Implementation Plan'!P198,0),0)</f>
        <v>0</v>
      </c>
      <c r="I543" s="324">
        <f ca="1">IF(I538&gt;0,I542-H542+ROUND(H542*'B. Implementation Plan'!P198,0),0)</f>
        <v>0</v>
      </c>
      <c r="J543" s="324">
        <f ca="1">IF(J538&gt;0,J542-I542+ROUND(I542*'B. Implementation Plan'!P198,0),0)</f>
        <v>0</v>
      </c>
      <c r="K543" s="324">
        <f ca="1">IF(K538&gt;0,K542-J542+ROUND(J542*'B. Implementation Plan'!P198,0),0)</f>
        <v>0</v>
      </c>
      <c r="L543" s="324">
        <f ca="1">IF(L538&gt;0,L542-K542+ROUND(K542*'B. Implementation Plan'!P198,0),0)</f>
        <v>0</v>
      </c>
      <c r="M543" s="324">
        <f ca="1">IF(M538&gt;0,M542-L542+ROUND(L542*'B. Implementation Plan'!P198,0),0)</f>
        <v>0</v>
      </c>
      <c r="N543" s="324">
        <f ca="1">IF(N538&gt;0,N542-M542+ROUND(M542*'B. Implementation Plan'!P198,0),0)</f>
        <v>0</v>
      </c>
      <c r="O543" s="367">
        <f ca="1">IF(O538&gt;0,O542-N542+ROUND(N542*'B. Implementation Plan'!P198,0),0)</f>
        <v>0</v>
      </c>
      <c r="P543" s="79">
        <f ca="1">IF(O543=0,IF(N543=0,IF(M543=0,IF(L543=0,IF(K543=0,IF(J543=0,IF(I543=0,IF(H543=0,IF(G543=0,IF(F543=0,E543,F543),G543),H543),I543),J543),K543),L543),M543),N543),O543)</f>
        <v>0</v>
      </c>
    </row>
    <row r="544" spans="1:16" ht="15" thickBot="1" x14ac:dyDescent="0.35">
      <c r="C544" s="59" t="s">
        <v>508</v>
      </c>
    </row>
    <row r="545" spans="3:16" ht="15.6" x14ac:dyDescent="0.3">
      <c r="C545" s="326" t="s">
        <v>509</v>
      </c>
      <c r="F545" s="149">
        <v>1</v>
      </c>
      <c r="G545" s="149">
        <v>2</v>
      </c>
      <c r="H545" s="149">
        <v>3</v>
      </c>
      <c r="I545" s="149">
        <v>4</v>
      </c>
      <c r="J545" s="149">
        <v>5</v>
      </c>
      <c r="K545" s="149">
        <v>6</v>
      </c>
      <c r="L545" s="149">
        <v>7</v>
      </c>
      <c r="M545" s="149">
        <v>8</v>
      </c>
      <c r="N545" s="149">
        <v>9</v>
      </c>
      <c r="O545" s="374">
        <v>10</v>
      </c>
      <c r="P545" s="351" t="s">
        <v>2</v>
      </c>
    </row>
    <row r="546" spans="3:16" s="365" customFormat="1" x14ac:dyDescent="0.3">
      <c r="C546" s="370">
        <v>1</v>
      </c>
      <c r="E546"/>
      <c r="F546" s="347">
        <f ca="1">IF($C546&lt;=ROUNDUP('B. Implementation Plan'!P201,0),ROUND(IF(AND($C546-'B. Implementation Plan'!P201&lt;1,$C546-'B. Implementation Plan'!P201&gt;0),MOD('B. Implementation Plan'!P201,1)*F541*1*(1-'B. Implementation Plan'!P198)^($C546-1),F541*1*(1-'B. Implementation Plan'!P198)^($C546-1)),0),0)</f>
        <v>0</v>
      </c>
      <c r="G546" s="347">
        <f>IF($C546&lt;=ROUNDUP('B. Implementation Plan'!P201,0),ROUND(IF(AND($C546-'B. Implementation Plan'!P201&lt;1,$C546-'B. Implementation Plan'!P201&gt;0),MOD('B. Implementation Plan'!P201,1)*G541*1*(1-'B. Implementation Plan'!P198)^($C546-1),G541*1*(1-'B. Implementation Plan'!P198)^($C546-1)),0),0)</f>
        <v>0</v>
      </c>
      <c r="H546" s="347">
        <f>IF($C546&lt;=ROUNDUP('B. Implementation Plan'!P201,0),ROUND(IF(AND($C546-'B. Implementation Plan'!P201&lt;1,$C546-'B. Implementation Plan'!P201&gt;0),MOD('B. Implementation Plan'!P201,1)*H541*1*(1-'B. Implementation Plan'!P198)^($C546-1),H541*1*(1-'B. Implementation Plan'!P198)^($C546-1)),0),0)</f>
        <v>0</v>
      </c>
      <c r="I546" s="347">
        <f>IF($C546&lt;=ROUNDUP('B. Implementation Plan'!P201,0),ROUND(IF(AND($C546-'B. Implementation Plan'!P201&lt;1,$C546-'B. Implementation Plan'!P201&gt;0),MOD('B. Implementation Plan'!P201,1)*I541*1*(1-'B. Implementation Plan'!P198)^($C546-1),I541*1*(1-'B. Implementation Plan'!P198)^($C546-1)),0),0)</f>
        <v>0</v>
      </c>
      <c r="J546" s="347">
        <f>IF($C546&lt;=ROUNDUP('B. Implementation Plan'!P201,0),ROUND(IF(AND($C546-'B. Implementation Plan'!P201&lt;1,$C546-'B. Implementation Plan'!P201&gt;0),MOD('B. Implementation Plan'!P201,1)*J541*1*(1-'B. Implementation Plan'!P198)^($C546-1),J541*1*(1-'B. Implementation Plan'!P198)^($C546-1)),0),0)</f>
        <v>0</v>
      </c>
      <c r="K546" s="347">
        <f>IF($C546&lt;=ROUNDUP('B. Implementation Plan'!P201,0),ROUND(IF(AND($C546-'B. Implementation Plan'!P201&lt;1,$C546-'B. Implementation Plan'!P201&gt;0),MOD('B. Implementation Plan'!P201,1)*K541*1*(1-'B. Implementation Plan'!P198)^($C546-1),K541*1*(1-'B. Implementation Plan'!P198)^($C546-1)),0),0)</f>
        <v>0</v>
      </c>
      <c r="L546" s="347">
        <f>IF($C546&lt;=ROUNDUP('B. Implementation Plan'!P201,0),ROUND(IF(AND($C546-'B. Implementation Plan'!P201&lt;1,$C546-'B. Implementation Plan'!P201&gt;0),MOD('B. Implementation Plan'!P201,1)*L541*1*(1-'B. Implementation Plan'!P198)^($C546-1),L541*1*(1-'B. Implementation Plan'!P198)^($C546-1)),0),0)</f>
        <v>0</v>
      </c>
      <c r="M546" s="347">
        <f>IF($C546&lt;=ROUNDUP('B. Implementation Plan'!P201,0),ROUND(IF(AND($C546-'B. Implementation Plan'!P201&lt;1,$C546-'B. Implementation Plan'!P201&gt;0),MOD('B. Implementation Plan'!P201,1)*M541*1*(1-'B. Implementation Plan'!P198)^($C546-1),M541*1*(1-'B. Implementation Plan'!P198)^($C546-1)),0),0)</f>
        <v>0</v>
      </c>
      <c r="N546" s="347">
        <f>IF($C546&lt;=ROUNDUP('B. Implementation Plan'!P201,0),ROUND(IF(AND($C546-'B. Implementation Plan'!P201&lt;1,$C546-'B. Implementation Plan'!P201&gt;0),MOD('B. Implementation Plan'!P201,1)*N541*1*(1-'B. Implementation Plan'!P198)^($C546-1),N541*1*(1-'B. Implementation Plan'!P198)^($C546-1)),0),0)</f>
        <v>0</v>
      </c>
      <c r="O546" s="347">
        <f>IF($C546&lt;=ROUNDUP('B. Implementation Plan'!P201,0),ROUND(IF(AND($C546-'B. Implementation Plan'!P201&lt;1,$C546-'B. Implementation Plan'!P201&gt;0),MOD('B. Implementation Plan'!P201,1)*O541*1*(1-'B. Implementation Plan'!P198)^($C546-1),O541*1*(1-'B. Implementation Plan'!P198)^($C546-1)),0),0)</f>
        <v>0</v>
      </c>
      <c r="P546" s="78" t="str">
        <f ca="1">IF(SUM(F546:O546)&gt;0,SUM(F546:O546),"")</f>
        <v/>
      </c>
    </row>
    <row r="547" spans="3:16" s="365" customFormat="1" x14ac:dyDescent="0.3">
      <c r="C547" s="370">
        <v>2</v>
      </c>
      <c r="E547"/>
      <c r="F547"/>
      <c r="G547" s="347">
        <f ca="1">IF($C547&lt;=ROUNDUP('B. Implementation Plan'!P201,0),ROUND(IF(AND($C547-'B. Implementation Plan'!P201&lt;1,$C547-'B. Implementation Plan'!P201&gt;0),MOD('B. Implementation Plan'!P201,1)*F541*1*(1-'B. Implementation Plan'!P198)^($C547-1),F541*1*(1-'B. Implementation Plan'!P198)^($C547-1)),0),0)</f>
        <v>0</v>
      </c>
      <c r="H547" s="347">
        <f>IF($C547&lt;=ROUNDUP('B. Implementation Plan'!P201,0),ROUND(IF(AND($C547-'B. Implementation Plan'!P201&lt;1,$C547-'B. Implementation Plan'!P201&gt;0),MOD('B. Implementation Plan'!P201,1)*G541*1*(1-'B. Implementation Plan'!P198)^($C547-1),G541*1*(1-'B. Implementation Plan'!P198)^($C547-1)),0),0)</f>
        <v>0</v>
      </c>
      <c r="I547" s="347">
        <f>IF($C547&lt;=ROUNDUP('B. Implementation Plan'!P201,0),ROUND(IF(AND($C547-'B. Implementation Plan'!P201&lt;1,$C547-'B. Implementation Plan'!P201&gt;0),MOD('B. Implementation Plan'!P201,1)*H541*1*(1-'B. Implementation Plan'!P198)^($C547-1),H541*1*(1-'B. Implementation Plan'!P198)^($C547-1)),0),0)</f>
        <v>0</v>
      </c>
      <c r="J547" s="347">
        <f>IF($C547&lt;=ROUNDUP('B. Implementation Plan'!P201,0),ROUND(IF(AND($C547-'B. Implementation Plan'!P201&lt;1,$C547-'B. Implementation Plan'!P201&gt;0),MOD('B. Implementation Plan'!P201,1)*I541*1*(1-'B. Implementation Plan'!P198)^($C547-1),I541*1*(1-'B. Implementation Plan'!P198)^($C547-1)),0),0)</f>
        <v>0</v>
      </c>
      <c r="K547" s="347">
        <f>IF($C547&lt;=ROUNDUP('B. Implementation Plan'!P201,0),ROUND(IF(AND($C547-'B. Implementation Plan'!P201&lt;1,$C547-'B. Implementation Plan'!P201&gt;0),MOD('B. Implementation Plan'!P201,1)*J541*1*(1-'B. Implementation Plan'!P198)^($C547-1),J541*1*(1-'B. Implementation Plan'!P198)^($C547-1)),0),0)</f>
        <v>0</v>
      </c>
      <c r="L547" s="347">
        <f>IF($C547&lt;=ROUNDUP('B. Implementation Plan'!P201,0),ROUND(IF(AND($C547-'B. Implementation Plan'!P201&lt;1,$C547-'B. Implementation Plan'!P201&gt;0),MOD('B. Implementation Plan'!P201,1)*K541*1*(1-'B. Implementation Plan'!P198)^($C547-1),K541*1*(1-'B. Implementation Plan'!P198)^($C547-1)),0),0)</f>
        <v>0</v>
      </c>
      <c r="M547" s="347">
        <f>IF($C547&lt;=ROUNDUP('B. Implementation Plan'!P201,0),ROUND(IF(AND($C547-'B. Implementation Plan'!P201&lt;1,$C547-'B. Implementation Plan'!P201&gt;0),MOD('B. Implementation Plan'!P201,1)*L541*1*(1-'B. Implementation Plan'!P198)^($C547-1),L541*1*(1-'B. Implementation Plan'!P198)^($C547-1)),0),0)</f>
        <v>0</v>
      </c>
      <c r="N547" s="347">
        <f>IF($C547&lt;=ROUNDUP('B. Implementation Plan'!P201,0),ROUND(IF(AND($C547-'B. Implementation Plan'!P201&lt;1,$C547-'B. Implementation Plan'!P201&gt;0),MOD('B. Implementation Plan'!P201,1)*M541*1*(1-'B. Implementation Plan'!P198)^($C547-1),M541*1*(1-'B. Implementation Plan'!P198)^($C547-1)),0),0)</f>
        <v>0</v>
      </c>
      <c r="O547" s="347">
        <f>IF($C547&lt;=ROUNDUP('B. Implementation Plan'!P201,0),ROUND(IF(AND($C547-'B. Implementation Plan'!P201&lt;1,$C547-'B. Implementation Plan'!P201&gt;0),MOD('B. Implementation Plan'!P201,1)*N541*1*(1-'B. Implementation Plan'!P198)^($C547-1),N541*1*(1-'B. Implementation Plan'!P198)^($C547-1)),0),0)</f>
        <v>0</v>
      </c>
      <c r="P547" s="78" t="str">
        <f t="shared" ref="P547:P555" ca="1" si="375">IF(SUM(F547:O547)&gt;0,SUM(F547:O547),"")</f>
        <v/>
      </c>
    </row>
    <row r="548" spans="3:16" s="365" customFormat="1" x14ac:dyDescent="0.3">
      <c r="C548" s="370">
        <v>3</v>
      </c>
      <c r="E548"/>
      <c r="F548"/>
      <c r="G548"/>
      <c r="H548" s="347">
        <f>IF($C548&lt;=ROUNDUP('B. Implementation Plan'!P201,0),ROUND(IF(AND($C548-'B. Implementation Plan'!P201&lt;1,$C548-'B. Implementation Plan'!P201&gt;0),MOD('B. Implementation Plan'!P201,1)*F541*1*(1-'B. Implementation Plan'!P198)^($C548-1),F541*1*(1-'B. Implementation Plan'!P198)^($C548-1)),0),0)</f>
        <v>0</v>
      </c>
      <c r="I548" s="347">
        <f>IF($C548&lt;=ROUNDUP('B. Implementation Plan'!P201,0),ROUND(IF(AND($C548-'B. Implementation Plan'!P201&lt;1,$C548-'B. Implementation Plan'!P201&gt;0),MOD('B. Implementation Plan'!P201,1)*G541*1*(1-'B. Implementation Plan'!P198)^($C548-1),G541*1*(1-'B. Implementation Plan'!P198)^($C548-1)),0),0)</f>
        <v>0</v>
      </c>
      <c r="J548" s="347">
        <f>IF($C548&lt;=ROUNDUP('B. Implementation Plan'!P201,0),ROUND(IF(AND($C548-'B. Implementation Plan'!P201&lt;1,$C548-'B. Implementation Plan'!P201&gt;0),MOD('B. Implementation Plan'!P201,1)*H541*1*(1-'B. Implementation Plan'!P198)^($C548-1),H541*1*(1-'B. Implementation Plan'!P198)^($C548-1)),0),0)</f>
        <v>0</v>
      </c>
      <c r="K548" s="347">
        <f>IF($C548&lt;=ROUNDUP('B. Implementation Plan'!P201,0),ROUND(IF(AND($C548-'B. Implementation Plan'!P201&lt;1,$C548-'B. Implementation Plan'!P201&gt;0),MOD('B. Implementation Plan'!P201,1)*I541*1*(1-'B. Implementation Plan'!P198)^($C548-1),I541*1*(1-'B. Implementation Plan'!P198)^($C548-1)),0),0)</f>
        <v>0</v>
      </c>
      <c r="L548" s="347">
        <f>IF($C548&lt;=ROUNDUP('B. Implementation Plan'!P201,0),ROUND(IF(AND($C548-'B. Implementation Plan'!P201&lt;1,$C548-'B. Implementation Plan'!P201&gt;0),MOD('B. Implementation Plan'!P201,1)*J541*1*(1-'B. Implementation Plan'!P198)^($C548-1),J541*1*(1-'B. Implementation Plan'!P198)^($C548-1)),0),0)</f>
        <v>0</v>
      </c>
      <c r="M548" s="347">
        <f>IF($C548&lt;=ROUNDUP('B. Implementation Plan'!P201,0),ROUND(IF(AND($C548-'B. Implementation Plan'!P201&lt;1,$C548-'B. Implementation Plan'!P201&gt;0),MOD('B. Implementation Plan'!P201,1)*K541*1*(1-'B. Implementation Plan'!P198)^($C548-1),K541*1*(1-'B. Implementation Plan'!P198)^($C548-1)),0),0)</f>
        <v>0</v>
      </c>
      <c r="N548" s="347">
        <f>IF($C548&lt;=ROUNDUP('B. Implementation Plan'!P201,0),ROUND(IF(AND($C548-'B. Implementation Plan'!P201&lt;1,$C548-'B. Implementation Plan'!P201&gt;0),MOD('B. Implementation Plan'!P201,1)*L541*1*(1-'B. Implementation Plan'!P198)^($C548-1),L541*1*(1-'B. Implementation Plan'!P198)^($C548-1)),0),0)</f>
        <v>0</v>
      </c>
      <c r="O548" s="347">
        <f>IF($C548&lt;=ROUNDUP('B. Implementation Plan'!P201,0),ROUND(IF(AND($C548-'B. Implementation Plan'!P201&lt;1,$C548-'B. Implementation Plan'!P201&gt;0),MOD('B. Implementation Plan'!P201,1)*M541*1*(1-'B. Implementation Plan'!P198)^($C548-1),M541*1*(1-'B. Implementation Plan'!P198)^($C548-1)),0),0)</f>
        <v>0</v>
      </c>
      <c r="P548" s="78" t="str">
        <f t="shared" si="375"/>
        <v/>
      </c>
    </row>
    <row r="549" spans="3:16" s="365" customFormat="1" x14ac:dyDescent="0.3">
      <c r="C549" s="370">
        <v>4</v>
      </c>
      <c r="E549"/>
      <c r="F549"/>
      <c r="G549"/>
      <c r="H549"/>
      <c r="I549" s="347">
        <f>IF($C549&lt;=ROUNDUP('B. Implementation Plan'!P201,0),ROUND(IF(AND($C549-'B. Implementation Plan'!P201&lt;1,$C549-'B. Implementation Plan'!P201&gt;0),MOD('B. Implementation Plan'!P201,1)*F541*1*(1-'B. Implementation Plan'!P198)^($C549-1),F541*1*(1-'B. Implementation Plan'!P198)^($C549-1)),0),0)</f>
        <v>0</v>
      </c>
      <c r="J549" s="347">
        <f>IF($C549&lt;=ROUNDUP('B. Implementation Plan'!P201,0),ROUND(IF(AND($C549-'B. Implementation Plan'!P201&lt;1,$C549-'B. Implementation Plan'!P201&gt;0),MOD('B. Implementation Plan'!P201,1)*G541*1*(1-'B. Implementation Plan'!P198)^($C549-1),G541*1*(1-'B. Implementation Plan'!P198)^($C549-1)),0),0)</f>
        <v>0</v>
      </c>
      <c r="K549" s="347">
        <f>IF($C549&lt;=ROUNDUP('B. Implementation Plan'!P201,0),ROUND(IF(AND($C549-'B. Implementation Plan'!P201&lt;1,$C549-'B. Implementation Plan'!P201&gt;0),MOD('B. Implementation Plan'!P201,1)*H541*1*(1-'B. Implementation Plan'!P198)^($C549-1),H541*1*(1-'B. Implementation Plan'!P198)^($C549-1)),0),0)</f>
        <v>0</v>
      </c>
      <c r="L549" s="347">
        <f>IF($C549&lt;=ROUNDUP('B. Implementation Plan'!P201,0),ROUND(IF(AND($C549-'B. Implementation Plan'!P201&lt;1,$C549-'B. Implementation Plan'!P201&gt;0),MOD('B. Implementation Plan'!P201,1)*I541*1*(1-'B. Implementation Plan'!P198)^($C549-1),I541*1*(1-'B. Implementation Plan'!P198)^($C549-1)),0),0)</f>
        <v>0</v>
      </c>
      <c r="M549" s="347">
        <f>IF($C549&lt;=ROUNDUP('B. Implementation Plan'!P201,0),ROUND(IF(AND($C549-'B. Implementation Plan'!P201&lt;1,$C549-'B. Implementation Plan'!P201&gt;0),MOD('B. Implementation Plan'!P201,1)*J541*1*(1-'B. Implementation Plan'!P198)^($C549-1),J541*1*(1-'B. Implementation Plan'!P198)^($C549-1)),0),0)</f>
        <v>0</v>
      </c>
      <c r="N549" s="347">
        <f>IF($C549&lt;=ROUNDUP('B. Implementation Plan'!P201,0),ROUND(IF(AND($C549-'B. Implementation Plan'!P201&lt;1,$C549-'B. Implementation Plan'!P201&gt;0),MOD('B. Implementation Plan'!P201,1)*K541*1*(1-'B. Implementation Plan'!P198)^($C549-1),K541*1*(1-'B. Implementation Plan'!P198)^($C549-1)),0),0)</f>
        <v>0</v>
      </c>
      <c r="O549" s="347">
        <f>IF($C549&lt;=ROUNDUP('B. Implementation Plan'!P201,0),ROUND(IF(AND($C549-'B. Implementation Plan'!P201&lt;1,$C549-'B. Implementation Plan'!P201&gt;0),MOD('B. Implementation Plan'!P201,1)*L541*1*(1-'B. Implementation Plan'!P198)^($C549-1),L541*1*(1-'B. Implementation Plan'!P198)^($C549-1)),0),0)</f>
        <v>0</v>
      </c>
      <c r="P549" s="78" t="str">
        <f t="shared" si="375"/>
        <v/>
      </c>
    </row>
    <row r="550" spans="3:16" s="365" customFormat="1" x14ac:dyDescent="0.3">
      <c r="C550" s="370">
        <v>5</v>
      </c>
      <c r="E550"/>
      <c r="F550"/>
      <c r="G550"/>
      <c r="H550"/>
      <c r="I550"/>
      <c r="J550" s="347">
        <f>IF($C550&lt;=ROUNDUP('B. Implementation Plan'!P201,0),ROUND(IF(AND($C550-'B. Implementation Plan'!P201&lt;1,$C550-'B. Implementation Plan'!P201&gt;0),MOD('B. Implementation Plan'!P201,1)*F541*1*(1-'B. Implementation Plan'!P198)^($C550-1),F541*1*(1-'B. Implementation Plan'!P198)^($C550-1)),0),0)</f>
        <v>0</v>
      </c>
      <c r="K550" s="347">
        <f>IF($C550&lt;=ROUNDUP('B. Implementation Plan'!P201,0),ROUND(IF(AND($C550-'B. Implementation Plan'!P201&lt;1,$C550-'B. Implementation Plan'!P201&gt;0),MOD('B. Implementation Plan'!P201,1)*G541*1*(1-'B. Implementation Plan'!P198)^($C550-1),G541*1*(1-'B. Implementation Plan'!P198)^($C550-1)),0),0)</f>
        <v>0</v>
      </c>
      <c r="L550" s="347">
        <f>IF($C550&lt;=ROUNDUP('B. Implementation Plan'!P201,0),ROUND(IF(AND($C550-'B. Implementation Plan'!P201&lt;1,$C550-'B. Implementation Plan'!P201&gt;0),MOD('B. Implementation Plan'!P201,1)*H541*1*(1-'B. Implementation Plan'!P198)^($C550-1),H541*1*(1-'B. Implementation Plan'!P198)^($C550-1)),0),0)</f>
        <v>0</v>
      </c>
      <c r="M550" s="347">
        <f>IF($C550&lt;=ROUNDUP('B. Implementation Plan'!P201,0),ROUND(IF(AND($C550-'B. Implementation Plan'!P201&lt;1,$C550-'B. Implementation Plan'!P201&gt;0),MOD('B. Implementation Plan'!P201,1)*I541*1*(1-'B. Implementation Plan'!P198)^($C550-1),I541*1*(1-'B. Implementation Plan'!P198)^($C550-1)),0),0)</f>
        <v>0</v>
      </c>
      <c r="N550" s="347">
        <f>IF($C550&lt;=ROUNDUP('B. Implementation Plan'!P201,0),ROUND(IF(AND($C550-'B. Implementation Plan'!P201&lt;1,$C550-'B. Implementation Plan'!P201&gt;0),MOD('B. Implementation Plan'!P201,1)*J541*1*(1-'B. Implementation Plan'!P198)^($C550-1),J541*1*(1-'B. Implementation Plan'!P198)^($C550-1)),0),0)</f>
        <v>0</v>
      </c>
      <c r="O550" s="347">
        <f>IF($C550&lt;=ROUNDUP('B. Implementation Plan'!P201,0),ROUND(IF(AND($C550-'B. Implementation Plan'!P201&lt;1,$C550-'B. Implementation Plan'!P201&gt;0),MOD('B. Implementation Plan'!P201,1)*K541*1*(1-'B. Implementation Plan'!P198)^($C550-1),K541*1*(1-'B. Implementation Plan'!P198)^($C550-1)),0),0)</f>
        <v>0</v>
      </c>
      <c r="P550" s="78" t="str">
        <f t="shared" si="375"/>
        <v/>
      </c>
    </row>
    <row r="551" spans="3:16" s="365" customFormat="1" x14ac:dyDescent="0.3">
      <c r="C551" s="370">
        <v>6</v>
      </c>
      <c r="E551"/>
      <c r="F551"/>
      <c r="G551"/>
      <c r="H551"/>
      <c r="I551"/>
      <c r="J551"/>
      <c r="K551" s="347">
        <f>IF($C551&lt;=ROUNDUP('B. Implementation Plan'!P201,0),ROUND(IF(AND($C551-'B. Implementation Plan'!P201&lt;1,$C551-'B. Implementation Plan'!P201&gt;0),MOD('B. Implementation Plan'!P201,1)*F541*1*(1-'B. Implementation Plan'!P198)^($C551-1),F541*1*(1-'B. Implementation Plan'!P198)^($C551-1)),0),0)</f>
        <v>0</v>
      </c>
      <c r="L551" s="347">
        <f>IF($C551&lt;=ROUNDUP('B. Implementation Plan'!P201,0),ROUND(IF(AND($C551-'B. Implementation Plan'!P201&lt;1,$C551-'B. Implementation Plan'!P201&gt;0),MOD('B. Implementation Plan'!P201,1)*G541*1*(1-'B. Implementation Plan'!P198)^($C551-1),G541*1*(1-'B. Implementation Plan'!P198)^($C551-1)),0),0)</f>
        <v>0</v>
      </c>
      <c r="M551" s="347">
        <f>IF($C551&lt;=ROUNDUP('B. Implementation Plan'!P201,0),ROUND(IF(AND($C551-'B. Implementation Plan'!P201&lt;1,$C551-'B. Implementation Plan'!P201&gt;0),MOD('B. Implementation Plan'!P201,1)*H541*1*(1-'B. Implementation Plan'!P198)^($C551-1),H541*1*(1-'B. Implementation Plan'!P198)^($C551-1)),0),0)</f>
        <v>0</v>
      </c>
      <c r="N551" s="347">
        <f>IF($C551&lt;=ROUNDUP('B. Implementation Plan'!P201,0),ROUND(IF(AND($C551-'B. Implementation Plan'!P201&lt;1,$C551-'B. Implementation Plan'!P201&gt;0),MOD('B. Implementation Plan'!P201,1)*I541*1*(1-'B. Implementation Plan'!P198)^($C551-1),I541*1*(1-'B. Implementation Plan'!P198)^($C551-1)),0),0)</f>
        <v>0</v>
      </c>
      <c r="O551" s="347">
        <f>IF($C551&lt;=ROUNDUP('B. Implementation Plan'!P201,0),ROUND(IF(AND($C551-'B. Implementation Plan'!P201&lt;1,$C551-'B. Implementation Plan'!P201&gt;0),MOD('B. Implementation Plan'!P201,1)*J541*1*(1-'B. Implementation Plan'!P198)^($C551-1),J541*1*(1-'B. Implementation Plan'!P198)^($C551-1)),0),0)</f>
        <v>0</v>
      </c>
      <c r="P551" s="78" t="str">
        <f t="shared" si="375"/>
        <v/>
      </c>
    </row>
    <row r="552" spans="3:16" s="365" customFormat="1" x14ac:dyDescent="0.3">
      <c r="C552" s="370">
        <v>7</v>
      </c>
      <c r="E552"/>
      <c r="F552"/>
      <c r="G552"/>
      <c r="H552"/>
      <c r="I552"/>
      <c r="J552"/>
      <c r="K552"/>
      <c r="L552" s="347">
        <f>IF($C552&lt;=ROUNDUP('B. Implementation Plan'!P201,0),ROUND(IF(AND($C552-'B. Implementation Plan'!P201&lt;1,$C552-'B. Implementation Plan'!P201&gt;0),MOD('B. Implementation Plan'!P201,1)*F541*1*(1-'B. Implementation Plan'!P198)^($C552-1),F541*1*(1-'B. Implementation Plan'!P198)^($C552-1)),0),0)</f>
        <v>0</v>
      </c>
      <c r="M552" s="347">
        <f>IF($C552&lt;=ROUNDUP('B. Implementation Plan'!P201,0),ROUND(IF(AND($C552-'B. Implementation Plan'!P201&lt;1,$C552-'B. Implementation Plan'!P201&gt;0),MOD('B. Implementation Plan'!P201,1)*G541*1*(1-'B. Implementation Plan'!P198)^($C552-1),G541*1*(1-'B. Implementation Plan'!P198)^($C552-1)),0),0)</f>
        <v>0</v>
      </c>
      <c r="N552" s="347">
        <f>IF($C552&lt;=ROUNDUP('B. Implementation Plan'!P201,0),ROUND(IF(AND($C552-'B. Implementation Plan'!P201&lt;1,$C552-'B. Implementation Plan'!P201&gt;0),MOD('B. Implementation Plan'!P201,1)*H541*1*(1-'B. Implementation Plan'!P198)^($C552-1),H541*1*(1-'B. Implementation Plan'!P198)^($C552-1)),0),0)</f>
        <v>0</v>
      </c>
      <c r="O552" s="347">
        <f>IF($C552&lt;=ROUNDUP('B. Implementation Plan'!P201,0),ROUND(IF(AND($C552-'B. Implementation Plan'!P201&lt;1,$C552-'B. Implementation Plan'!P201&gt;0),MOD('B. Implementation Plan'!P201,1)*I541*1*(1-'B. Implementation Plan'!P198)^($C552-1),I541*1*(1-'B. Implementation Plan'!P198)^($C552-1)),0),0)</f>
        <v>0</v>
      </c>
      <c r="P552" s="78" t="str">
        <f t="shared" si="375"/>
        <v/>
      </c>
    </row>
    <row r="553" spans="3:16" s="365" customFormat="1" x14ac:dyDescent="0.3">
      <c r="C553" s="370">
        <v>8</v>
      </c>
      <c r="E553"/>
      <c r="F553"/>
      <c r="G553"/>
      <c r="H553"/>
      <c r="I553"/>
      <c r="J553"/>
      <c r="K553"/>
      <c r="L553"/>
      <c r="M553" s="347">
        <f>IF($C553&lt;=ROUNDUP('B. Implementation Plan'!P201,0),ROUND(IF(AND($C553-'B. Implementation Plan'!P201&lt;1,$C553-'B. Implementation Plan'!P201&gt;0),MOD('B. Implementation Plan'!P201,1)*F541*1*(1-'B. Implementation Plan'!P198)^($C553-1),F541*1*(1-'B. Implementation Plan'!P198)^($C553-1)),0),0)</f>
        <v>0</v>
      </c>
      <c r="N553" s="347">
        <f>IF($C553&lt;=ROUNDUP('B. Implementation Plan'!P201,0),ROUND(IF(AND($C553-'B. Implementation Plan'!P201&lt;1,$C553-'B. Implementation Plan'!P201&gt;0),MOD('B. Implementation Plan'!P201,1)*G541*1*(1-'B. Implementation Plan'!P198)^($C553-1),G541*1*(1-'B. Implementation Plan'!P198)^($C553-1)),0),0)</f>
        <v>0</v>
      </c>
      <c r="O553" s="347">
        <f>IF($C553&lt;=ROUNDUP('B. Implementation Plan'!P201,0),ROUND(IF(AND($C553-'B. Implementation Plan'!P201&lt;1,$C553-'B. Implementation Plan'!P201&gt;0),MOD('B. Implementation Plan'!P201,1)*H541*1*(1-'B. Implementation Plan'!P198)^($C553-1),H541*1*(1-'B. Implementation Plan'!P198)^($C553-1)),0),0)</f>
        <v>0</v>
      </c>
      <c r="P553" s="78" t="str">
        <f t="shared" si="375"/>
        <v/>
      </c>
    </row>
    <row r="554" spans="3:16" s="365" customFormat="1" x14ac:dyDescent="0.3">
      <c r="C554" s="370">
        <v>9</v>
      </c>
      <c r="E554"/>
      <c r="F554"/>
      <c r="G554"/>
      <c r="H554"/>
      <c r="I554"/>
      <c r="J554"/>
      <c r="K554"/>
      <c r="L554"/>
      <c r="M554"/>
      <c r="N554" s="347">
        <f>IF($C554&lt;=ROUNDUP('B. Implementation Plan'!P201,0),ROUND(IF(AND($C554-'B. Implementation Plan'!P201&lt;1,$C554-'B. Implementation Plan'!P201&gt;0),MOD('B. Implementation Plan'!P201,1)*F541*1*(1-'B. Implementation Plan'!P198)^($C554-1),F541*1*(1-'B. Implementation Plan'!P198)^($C554-1)),0),0)</f>
        <v>0</v>
      </c>
      <c r="O554" s="347">
        <f>IF($C554&lt;=ROUNDUP('B. Implementation Plan'!P201,0),ROUND(IF(AND($C554-'B. Implementation Plan'!P201&lt;1,$C554-'B. Implementation Plan'!P201&gt;0),MOD('B. Implementation Plan'!P201,1)*G541*1*(1-'B. Implementation Plan'!P198)^($C554-1),G541*1*(1-'B. Implementation Plan'!P198)^($C554-1)),0),0)</f>
        <v>0</v>
      </c>
      <c r="P554" s="78" t="str">
        <f t="shared" si="375"/>
        <v/>
      </c>
    </row>
    <row r="555" spans="3:16" s="365" customFormat="1" x14ac:dyDescent="0.3">
      <c r="C555" s="370">
        <v>10</v>
      </c>
      <c r="E555"/>
      <c r="F555"/>
      <c r="G555"/>
      <c r="H555"/>
      <c r="I555"/>
      <c r="J555"/>
      <c r="K555"/>
      <c r="L555"/>
      <c r="M555"/>
      <c r="N555" s="19"/>
      <c r="O555" s="347">
        <f>IF($C555&lt;=ROUNDUP('B. Implementation Plan'!P201,0),ROUND(IF(AND($C555-'B. Implementation Plan'!P201&lt;1,$C555-'B. Implementation Plan'!P201&gt;0),MOD('B. Implementation Plan'!P201,1)*F541*1*(1-'B. Implementation Plan'!P198)^($C555-1),F541*1*(1-'B. Implementation Plan'!P198)^($C555-1)),0),0)</f>
        <v>0</v>
      </c>
      <c r="P555" s="78" t="str">
        <f t="shared" si="375"/>
        <v/>
      </c>
    </row>
    <row r="556" spans="3:16" s="1" customFormat="1" x14ac:dyDescent="0.3">
      <c r="C556" s="376" t="s">
        <v>510</v>
      </c>
      <c r="E556"/>
      <c r="F556" s="371">
        <f t="shared" ref="F556" ca="1" si="376">IF(F538&gt;0,SUM(F546:F555),0)</f>
        <v>0</v>
      </c>
      <c r="G556" s="371">
        <f t="shared" ref="G556" ca="1" si="377">IF(G538&gt;0,SUM(G546:G555),0)</f>
        <v>0</v>
      </c>
      <c r="H556" s="371">
        <f t="shared" ref="H556" ca="1" si="378">IF(H538&gt;0,SUM(H546:H555),0)</f>
        <v>0</v>
      </c>
      <c r="I556" s="371">
        <f t="shared" ref="I556" ca="1" si="379">IF(I538&gt;0,SUM(I546:I555),0)</f>
        <v>0</v>
      </c>
      <c r="J556" s="371">
        <f t="shared" ref="J556" ca="1" si="380">IF(J538&gt;0,SUM(J546:J555),0)</f>
        <v>0</v>
      </c>
      <c r="K556" s="371">
        <f t="shared" ref="K556" ca="1" si="381">IF(K538&gt;0,SUM(K546:K555),0)</f>
        <v>0</v>
      </c>
      <c r="L556" s="371">
        <f t="shared" ref="L556" ca="1" si="382">IF(L538&gt;0,SUM(L546:L555),0)</f>
        <v>0</v>
      </c>
      <c r="M556" s="371">
        <f t="shared" ref="M556" ca="1" si="383">IF(M538&gt;0,SUM(M546:M555),0)</f>
        <v>0</v>
      </c>
      <c r="N556" s="371">
        <f t="shared" ref="N556" ca="1" si="384">IF(N538&gt;0,SUM(N546:N555),0)</f>
        <v>0</v>
      </c>
      <c r="O556" s="371">
        <f t="shared" ref="O556" ca="1" si="385">IF(O538&gt;0,SUM(O546:O555),0)</f>
        <v>0</v>
      </c>
      <c r="P556" s="325">
        <f ca="1">SUM(E556:O556)</f>
        <v>0</v>
      </c>
    </row>
    <row r="557" spans="3:16" s="1" customFormat="1" x14ac:dyDescent="0.3">
      <c r="C557" s="353" t="s">
        <v>511</v>
      </c>
      <c r="E557"/>
      <c r="F557" s="324">
        <f ca="1">MIN(IFERROR(ROUNDUP(IF(F538&gt;0,INDEX(F546:F555,MATCH(9.99999999999999E+307,P546:P555))/IF(MOD('B. Implementation Plan'!P201,1)=0,1,MOD('B. Implementation Plan'!P201,1)),0),0),0),MAX(E546:E555))</f>
        <v>0</v>
      </c>
      <c r="G557" s="324">
        <f ca="1">MIN(IFERROR(ROUNDUP(IF(G538&gt;0,INDEX(G546:G555,MATCH(9.99999999999999E+307,P546:P555))/IF(MOD('B. Implementation Plan'!P201,1)=0,1,MOD('B. Implementation Plan'!P201,1)),0),0),0),MAX(E546:F555))</f>
        <v>0</v>
      </c>
      <c r="H557" s="324">
        <f ca="1">MIN(IFERROR(ROUNDUP(IF(H538&gt;0,INDEX(H546:H555,MATCH(9.99999999999999E+307,P546:P555))/IF(MOD('B. Implementation Plan'!P201,1)=0,1,MOD('B. Implementation Plan'!P201,1)),0),0),0),MAX(E546:G555))</f>
        <v>0</v>
      </c>
      <c r="I557" s="324">
        <f ca="1">MIN(IFERROR(ROUNDUP(IF(I538&gt;0,INDEX(I546:I555,MATCH(9.99999999999999E+307,P546:P555))/IF(MOD('B. Implementation Plan'!P201,1)=0,1,MOD('B. Implementation Plan'!P201,1)),0),0),0),MAX(E546:H555))</f>
        <v>0</v>
      </c>
      <c r="J557" s="324">
        <f ca="1">MIN(IFERROR(ROUNDUP(IF(J538&gt;0,INDEX(J546:J555,MATCH(9.99999999999999E+307,P546:P555))/IF(MOD('B. Implementation Plan'!P201,1)=0,1,MOD('B. Implementation Plan'!P201,1)),0),0),0),MAX(E546:I555))</f>
        <v>0</v>
      </c>
      <c r="K557" s="324">
        <f ca="1">MIN(IFERROR(ROUNDUP(IF(K538&gt;0,INDEX(K546:K555,MATCH(9.99999999999999E+307,P546:P555))/IF(MOD('B. Implementation Plan'!P201,1)=0,1,MOD('B. Implementation Plan'!P201,1)),0),0),0),MAX(E546:J555))</f>
        <v>0</v>
      </c>
      <c r="L557" s="324">
        <f ca="1">MIN(IFERROR(ROUNDUP(IF(L538&gt;0,INDEX(L546:L555,MATCH(9.99999999999999E+307,P546:P555))/IF(MOD('B. Implementation Plan'!P201,1)=0,1,MOD('B. Implementation Plan'!P201,1)),0),0),0),MAX(E546:K555))</f>
        <v>0</v>
      </c>
      <c r="M557" s="324">
        <f ca="1">MIN(IFERROR(ROUNDUP(IF(M538&gt;0,INDEX(M546:M555,MATCH(9.99999999999999E+307,P546:P555))/IF(MOD('B. Implementation Plan'!P201,1)=0,1,MOD('B. Implementation Plan'!P201,1)),0),0),0),MAX(E546:L555))</f>
        <v>0</v>
      </c>
      <c r="N557" s="324">
        <f ca="1">MIN(IFERROR(ROUNDUP(IF(N538&gt;0,INDEX(N546:N555,MATCH(9.99999999999999E+307,P546:P555))/IF(MOD('B. Implementation Plan'!P201,1)=0,1,MOD('B. Implementation Plan'!P201,1)),0),0),0),MAX(E546:M555))</f>
        <v>0</v>
      </c>
      <c r="O557" s="324">
        <f ca="1">MIN(IFERROR(ROUNDUP(IF(O538&gt;0,INDEX(O546:O555,MATCH(9.99999999999999E+307,P546:P555))/IF(MOD('B. Implementation Plan'!P201,1)=0,1,MOD('B. Implementation Plan'!P201,1)),0),0),0),MAX(E546:N555))</f>
        <v>0</v>
      </c>
      <c r="P557" s="325">
        <f ca="1">SUM(E557:O557)</f>
        <v>0</v>
      </c>
    </row>
    <row r="558" spans="3:16" s="365" customFormat="1" x14ac:dyDescent="0.3">
      <c r="C558" s="326" t="s">
        <v>512</v>
      </c>
      <c r="E558"/>
      <c r="F558" s="347">
        <f ca="1">ROUNDUP(IF(F538&gt;0,IF(SUM(E557:F557,E558:E558)*'B. Implementation Plan'!P198&gt;P557,0,-ROUND(SUM(E557:F557,E558:E558)*'B. Implementation Plan'!P198,0)),0),0)</f>
        <v>0</v>
      </c>
      <c r="G558" s="347">
        <f ca="1">ROUNDUP(IF(G538&gt;0,IF(SUM(E557:G557,E558:F558)*'B. Implementation Plan'!P198&gt;P557,0,-ROUND(SUM(E557:G557,E558:F558)*'B. Implementation Plan'!P198,0)),0),0)</f>
        <v>0</v>
      </c>
      <c r="H558" s="347">
        <f ca="1">ROUNDUP(IF(H538&gt;0,IF(SUM(E557:H557,E558:G558)*'B. Implementation Plan'!P198&gt;P557,0,-ROUND(SUM(E557:H557,E558:G558)*'B. Implementation Plan'!P198,0)),0),0)</f>
        <v>0</v>
      </c>
      <c r="I558" s="347">
        <f ca="1">ROUNDUP(IF(I538&gt;0,IF(SUM(E557:I557,E558:H558)*'B. Implementation Plan'!P198&gt;P557,0,-ROUND(SUM(E557:I557,E558:H558)*'B. Implementation Plan'!P198,0)),0),0)</f>
        <v>0</v>
      </c>
      <c r="J558" s="347">
        <f ca="1">ROUNDUP(IF(J538&gt;0,IF(SUM(E557:J557,E558:I558)*'B. Implementation Plan'!P198&gt;P557,0,-ROUND(SUM(E557:J557,E558:I558)*'B. Implementation Plan'!P198,0)),0),0)</f>
        <v>0</v>
      </c>
      <c r="K558" s="347">
        <f ca="1">ROUNDUP(IF(K538&gt;0,IF(SUM(E557:K557,E558:J558)*'B. Implementation Plan'!P198&gt;P557,0,-ROUND(SUM(E557:K557,E558:J558)*'B. Implementation Plan'!P198,0)),0),0)</f>
        <v>0</v>
      </c>
      <c r="L558" s="347">
        <f ca="1">ROUNDUP(IF(L538&gt;0,IF(SUM(E557:L557,E558:K558)*'B. Implementation Plan'!P198&gt;P557,0,-ROUND(SUM(E557:L557,E558:K558)*'B. Implementation Plan'!P198,0)),0),0)</f>
        <v>0</v>
      </c>
      <c r="M558" s="347">
        <f ca="1">ROUNDUP(IF(M538&gt;0,IF(SUM(E557:M557,E558:L558)*'B. Implementation Plan'!P198&gt;P557,0,-ROUND(SUM(E557:M557,E558:L558)*'B. Implementation Plan'!P198,0)),0),0)</f>
        <v>0</v>
      </c>
      <c r="N558" s="347">
        <f ca="1">ROUNDUP(IF(N538&gt;0,IF(SUM(E557:N557,E558:M558)*'B. Implementation Plan'!P198&gt;P557,0,-ROUND(SUM(E557:N557,E558:M558)*'B. Implementation Plan'!P198,0)),0),0)</f>
        <v>0</v>
      </c>
      <c r="O558" s="347">
        <f ca="1">ROUNDUP(IF(O538&gt;0,IF(SUM(E557:O557,E558:N558)*'B. Implementation Plan'!P198&gt;P557,0,-ROUND(SUM(E557:O557,E558:N558)*'B. Implementation Plan'!P198,0)),0),0)</f>
        <v>0</v>
      </c>
      <c r="P558" s="354">
        <f ca="1">SUM(E558:O558)</f>
        <v>0</v>
      </c>
    </row>
    <row r="559" spans="3:16" s="365" customFormat="1" ht="15" thickBot="1" x14ac:dyDescent="0.35">
      <c r="C559" s="326" t="s">
        <v>513</v>
      </c>
      <c r="E559"/>
      <c r="F559" s="347">
        <f ca="1">IF(F538&gt;0,SUM(E557:F558),0)</f>
        <v>0</v>
      </c>
      <c r="G559" s="347">
        <f ca="1">IF(G538&gt;0,SUM(E557:G558),0)</f>
        <v>0</v>
      </c>
      <c r="H559" s="347">
        <f ca="1">IF(H538&gt;0,SUM(E557:H558),0)</f>
        <v>0</v>
      </c>
      <c r="I559" s="347">
        <f ca="1">IF(I538&gt;0,SUM(E557:I558),0)</f>
        <v>0</v>
      </c>
      <c r="J559" s="347">
        <f ca="1">IF(J538&gt;0,SUM(E557:J558),0)</f>
        <v>0</v>
      </c>
      <c r="K559" s="347">
        <f ca="1">IF(K538&gt;0,SUM(E557:K558),0)</f>
        <v>0</v>
      </c>
      <c r="L559" s="347">
        <f ca="1">IF(L538&gt;0,SUM(E557:L558),0)</f>
        <v>0</v>
      </c>
      <c r="M559" s="347">
        <f ca="1">IF(M538&gt;0,SUM(E557:M558),0)</f>
        <v>0</v>
      </c>
      <c r="N559" s="347">
        <f ca="1">IF(N538&gt;0,SUM(E557:N558),0)</f>
        <v>0</v>
      </c>
      <c r="O559" s="369">
        <f ca="1">IF(O538&gt;0,SUM(E557:O558),0)</f>
        <v>0</v>
      </c>
      <c r="P559" s="375">
        <f t="shared" ref="P559" ca="1" si="386">IF(O559=0,IF(N559=0,IF(M559=0,IF(L559=0,IF(K559=0,IF(J559=0,IF(I559=0,IF(H559=0,IF(G559=0,IF(F559=0,E559,F559),G559),H559),I559),J559),K559),L559),M559),N559),O559)</f>
        <v>0</v>
      </c>
    </row>
    <row r="560" spans="3:16" ht="15" thickBot="1" x14ac:dyDescent="0.35">
      <c r="C560" s="59" t="s">
        <v>520</v>
      </c>
    </row>
    <row r="561" spans="3:16" ht="15.6" x14ac:dyDescent="0.3">
      <c r="C561" s="326" t="s">
        <v>514</v>
      </c>
      <c r="F561" s="149">
        <v>1</v>
      </c>
      <c r="G561" s="149">
        <v>2</v>
      </c>
      <c r="H561" s="149">
        <v>3</v>
      </c>
      <c r="I561" s="149">
        <v>4</v>
      </c>
      <c r="J561" s="149">
        <v>5</v>
      </c>
      <c r="K561" s="149">
        <v>6</v>
      </c>
      <c r="L561" s="149">
        <v>7</v>
      </c>
      <c r="M561" s="149">
        <v>8</v>
      </c>
      <c r="N561" s="149">
        <v>9</v>
      </c>
      <c r="O561" s="374">
        <v>10</v>
      </c>
      <c r="P561" s="351" t="s">
        <v>2</v>
      </c>
    </row>
    <row r="562" spans="3:16" s="365" customFormat="1" x14ac:dyDescent="0.3">
      <c r="C562" s="370">
        <v>1</v>
      </c>
      <c r="E562"/>
      <c r="F562" s="347">
        <f ca="1">IF($C562&lt;=ROUNDUP('B. Implementation Plan'!P201,0),ROUND(IF(AND($C562-'B. Implementation Plan'!P201&lt;1,$C562-'B. Implementation Plan'!P201&gt;0),MOD('B. Implementation Plan'!P201,1)*(E543+F543)*(1-'B. Implementation Plan'!P199)*'B. Implementation Plan'!P200*(1-'B. Implementation Plan'!P198)^($C562-1),(E543+F543)*(1-'B. Implementation Plan'!P199)*'B. Implementation Plan'!P200*(1-'B. Implementation Plan'!P198)^($C562-1)),0),0)</f>
        <v>0</v>
      </c>
      <c r="G562" s="347">
        <f ca="1">IF($C562&lt;=ROUNDUP('B. Implementation Plan'!P201,0),ROUND(IF(AND($C562-'B. Implementation Plan'!P201&lt;1,$C562-'B. Implementation Plan'!P201&gt;0),MOD('B. Implementation Plan'!P201,1)*G543*(1-'B. Implementation Plan'!P199)*'B. Implementation Plan'!P200*(1-'B. Implementation Plan'!P198)^($C562-1),G543*(1-'B. Implementation Plan'!P199)*'B. Implementation Plan'!P200*(1-'B. Implementation Plan'!P198)^($C562-1)),0),0)</f>
        <v>0</v>
      </c>
      <c r="H562" s="347">
        <f ca="1">IF($C562&lt;=ROUNDUP('B. Implementation Plan'!P201,0),ROUND(IF(AND($C562-'B. Implementation Plan'!P201&lt;1,$C562-'B. Implementation Plan'!P201&gt;0),MOD('B. Implementation Plan'!P201,1)*H543*(1-'B. Implementation Plan'!P199)*'B. Implementation Plan'!P200*(1-'B. Implementation Plan'!P198)^($C562-1),H543*(1-'B. Implementation Plan'!P199)*'B. Implementation Plan'!P200*(1-'B. Implementation Plan'!P198)^($C562-1)),0),0)</f>
        <v>0</v>
      </c>
      <c r="I562" s="347">
        <f ca="1">IF($C562&lt;=ROUNDUP('B. Implementation Plan'!P201,0),ROUND(IF(AND($C562-'B. Implementation Plan'!P201&lt;1,$C562-'B. Implementation Plan'!P201&gt;0),MOD('B. Implementation Plan'!P201,1)*I543*(1-'B. Implementation Plan'!P199)*'B. Implementation Plan'!P200*(1-'B. Implementation Plan'!P198)^($C562-1),I543*(1-'B. Implementation Plan'!P199)*'B. Implementation Plan'!P200*(1-'B. Implementation Plan'!P198)^($C562-1)),0),0)</f>
        <v>0</v>
      </c>
      <c r="J562" s="347">
        <f ca="1">IF($C562&lt;=ROUNDUP('B. Implementation Plan'!P201,0),ROUND(IF(AND($C562-'B. Implementation Plan'!P201&lt;1,$C562-'B. Implementation Plan'!P201&gt;0),MOD('B. Implementation Plan'!P201,1)*J543*(1-'B. Implementation Plan'!P199)*'B. Implementation Plan'!P200*(1-'B. Implementation Plan'!P198)^($C562-1),J543*(1-'B. Implementation Plan'!P199)*'B. Implementation Plan'!P200*(1-'B. Implementation Plan'!P198)^($C562-1)),0),0)</f>
        <v>0</v>
      </c>
      <c r="K562" s="347">
        <f ca="1">IF($C562&lt;=ROUNDUP('B. Implementation Plan'!P201,0),ROUND(IF(AND($C562-'B. Implementation Plan'!P201&lt;1,$C562-'B. Implementation Plan'!P201&gt;0),MOD('B. Implementation Plan'!P201,1)*K543*(1-'B. Implementation Plan'!P199)*'B. Implementation Plan'!P200*(1-'B. Implementation Plan'!P198)^($C562-1),K543*(1-'B. Implementation Plan'!P199)*'B. Implementation Plan'!P200*(1-'B. Implementation Plan'!P198)^($C562-1)),0),0)</f>
        <v>0</v>
      </c>
      <c r="L562" s="347">
        <f ca="1">IF($C562&lt;=ROUNDUP('B. Implementation Plan'!P201,0),ROUND(IF(AND($C562-'B. Implementation Plan'!P201&lt;1,$C562-'B. Implementation Plan'!P201&gt;0),MOD('B. Implementation Plan'!P201,1)*L543*(1-'B. Implementation Plan'!P199)*'B. Implementation Plan'!P200*(1-'B. Implementation Plan'!P198)^($C562-1),L543*(1-'B. Implementation Plan'!P199)*'B. Implementation Plan'!P200*(1-'B. Implementation Plan'!P198)^($C562-1)),0),0)</f>
        <v>0</v>
      </c>
      <c r="M562" s="347">
        <f ca="1">IF($C562&lt;=ROUNDUP('B. Implementation Plan'!P201,0),ROUND(IF(AND($C562-'B. Implementation Plan'!P201&lt;1,$C562-'B. Implementation Plan'!P201&gt;0),MOD('B. Implementation Plan'!P201,1)*M543*(1-'B. Implementation Plan'!P199)*'B. Implementation Plan'!P200*(1-'B. Implementation Plan'!P198)^($C562-1),M543*(1-'B. Implementation Plan'!P199)*'B. Implementation Plan'!P200*(1-'B. Implementation Plan'!P198)^($C562-1)),0),0)</f>
        <v>0</v>
      </c>
      <c r="N562" s="347">
        <f ca="1">IF($C562&lt;=ROUNDUP('B. Implementation Plan'!P201,0),ROUND(IF(AND($C562-'B. Implementation Plan'!P201&lt;1,$C562-'B. Implementation Plan'!P201&gt;0),MOD('B. Implementation Plan'!P201,1)*N543*(1-'B. Implementation Plan'!P199)*'B. Implementation Plan'!P200*(1-'B. Implementation Plan'!P198)^($C562-1),N543*(1-'B. Implementation Plan'!P199)*'B. Implementation Plan'!P200*(1-'B. Implementation Plan'!P198)^($C562-1)),0),0)</f>
        <v>0</v>
      </c>
      <c r="O562" s="347">
        <f ca="1">IF($C562&lt;=ROUNDUP('B. Implementation Plan'!P201,0),ROUND(IF(AND($C562-'B. Implementation Plan'!P201&lt;1,$C562-'B. Implementation Plan'!P201&gt;0),MOD('B. Implementation Plan'!P201,1)*O543*(1-'B. Implementation Plan'!P199)*'B. Implementation Plan'!P200*(1-'B. Implementation Plan'!P198)^($C562-1),O543*(1-'B. Implementation Plan'!P199)*'B. Implementation Plan'!P200*(1-'B. Implementation Plan'!P198)^($C562-1)),0),0)</f>
        <v>0</v>
      </c>
      <c r="P562" s="78" t="str">
        <f ca="1">IF(SUM(F562:O562)&gt;0,SUM(F562:O562),"")</f>
        <v/>
      </c>
    </row>
    <row r="563" spans="3:16" s="365" customFormat="1" x14ac:dyDescent="0.3">
      <c r="C563" s="370">
        <v>2</v>
      </c>
      <c r="E563"/>
      <c r="F563"/>
      <c r="G563" s="347">
        <f ca="1">IF($C563&lt;=ROUNDUP('B. Implementation Plan'!P201,0),ROUND(IF(AND($C563-'B. Implementation Plan'!P201&lt;1,$C563-'B. Implementation Plan'!P201&gt;0),MOD('B. Implementation Plan'!P201,1)*(E543+F543)*(1-'B. Implementation Plan'!P199)*'B. Implementation Plan'!P200*(1-'B. Implementation Plan'!P198)^($C563-1),(E543+F543)*(1-'B. Implementation Plan'!P199)*'B. Implementation Plan'!P200*(1-'B. Implementation Plan'!P198)^($C563-1)),0),0)</f>
        <v>0</v>
      </c>
      <c r="H563" s="347">
        <f ca="1">IF($C563&lt;=ROUNDUP('B. Implementation Plan'!P201,0),ROUND(IF(AND($C563-'B. Implementation Plan'!P201&lt;1,$C563-'B. Implementation Plan'!P201&gt;0),MOD('B. Implementation Plan'!P201,1)*G543*(1-'B. Implementation Plan'!P199)*'B. Implementation Plan'!P200*(1-'B. Implementation Plan'!P198)^($C563-1),G543*(1-'B. Implementation Plan'!P199)*'B. Implementation Plan'!P200*(1-'B. Implementation Plan'!P198)^($C563-1)),0),0)</f>
        <v>0</v>
      </c>
      <c r="I563" s="347">
        <f ca="1">IF($C563&lt;=ROUNDUP('B. Implementation Plan'!P201,0),ROUND(IF(AND($C563-'B. Implementation Plan'!P201&lt;1,$C563-'B. Implementation Plan'!P201&gt;0),MOD('B. Implementation Plan'!P201,1)*H543*(1-'B. Implementation Plan'!P199)*'B. Implementation Plan'!P200*(1-'B. Implementation Plan'!P198)^($C563-1),H543*(1-'B. Implementation Plan'!P199)*'B. Implementation Plan'!P200*(1-'B. Implementation Plan'!P198)^($C563-1)),0),0)</f>
        <v>0</v>
      </c>
      <c r="J563" s="347">
        <f ca="1">IF($C563&lt;=ROUNDUP('B. Implementation Plan'!P201,0),ROUND(IF(AND($C563-'B. Implementation Plan'!P201&lt;1,$C563-'B. Implementation Plan'!P201&gt;0),MOD('B. Implementation Plan'!P201,1)*I543*(1-'B. Implementation Plan'!P199)*'B. Implementation Plan'!P200*(1-'B. Implementation Plan'!P198)^($C563-1),I543*(1-'B. Implementation Plan'!P199)*'B. Implementation Plan'!P200*(1-'B. Implementation Plan'!P198)^($C563-1)),0),0)</f>
        <v>0</v>
      </c>
      <c r="K563" s="347">
        <f ca="1">IF($C563&lt;=ROUNDUP('B. Implementation Plan'!P201,0),ROUND(IF(AND($C563-'B. Implementation Plan'!P201&lt;1,$C563-'B. Implementation Plan'!P201&gt;0),MOD('B. Implementation Plan'!P201,1)*J543*(1-'B. Implementation Plan'!P199)*'B. Implementation Plan'!P200*(1-'B. Implementation Plan'!P198)^($C563-1),J543*(1-'B. Implementation Plan'!P199)*'B. Implementation Plan'!P200*(1-'B. Implementation Plan'!P198)^($C563-1)),0),0)</f>
        <v>0</v>
      </c>
      <c r="L563" s="347">
        <f ca="1">IF($C563&lt;=ROUNDUP('B. Implementation Plan'!P201,0),ROUND(IF(AND($C563-'B. Implementation Plan'!P201&lt;1,$C563-'B. Implementation Plan'!P201&gt;0),MOD('B. Implementation Plan'!P201,1)*K543*(1-'B. Implementation Plan'!P199)*'B. Implementation Plan'!P200*(1-'B. Implementation Plan'!P198)^($C563-1),K543*(1-'B. Implementation Plan'!P199)*'B. Implementation Plan'!P200*(1-'B. Implementation Plan'!P198)^($C563-1)),0),0)</f>
        <v>0</v>
      </c>
      <c r="M563" s="347">
        <f ca="1">IF($C563&lt;=ROUNDUP('B. Implementation Plan'!P201,0),ROUND(IF(AND($C563-'B. Implementation Plan'!P201&lt;1,$C563-'B. Implementation Plan'!P201&gt;0),MOD('B. Implementation Plan'!P201,1)*L543*(1-'B. Implementation Plan'!P199)*'B. Implementation Plan'!P200*(1-'B. Implementation Plan'!P198)^($C563-1),L543*(1-'B. Implementation Plan'!P199)*'B. Implementation Plan'!P200*(1-'B. Implementation Plan'!P198)^($C563-1)),0),0)</f>
        <v>0</v>
      </c>
      <c r="N563" s="347">
        <f ca="1">IF($C563&lt;=ROUNDUP('B. Implementation Plan'!P201,0),ROUND(IF(AND($C563-'B. Implementation Plan'!P201&lt;1,$C563-'B. Implementation Plan'!P201&gt;0),MOD('B. Implementation Plan'!P201,1)*M543*(1-'B. Implementation Plan'!P199)*'B. Implementation Plan'!P200*(1-'B. Implementation Plan'!P198)^($C563-1),M543*(1-'B. Implementation Plan'!P199)*'B. Implementation Plan'!P200*(1-'B. Implementation Plan'!P198)^($C563-1)),0),0)</f>
        <v>0</v>
      </c>
      <c r="O563" s="347">
        <f ca="1">IF($C563&lt;=ROUNDUP('B. Implementation Plan'!P201,0),ROUND(IF(AND($C563-'B. Implementation Plan'!P201&lt;1,$C563-'B. Implementation Plan'!P201&gt;0),MOD('B. Implementation Plan'!P201,1)*N543*(1-'B. Implementation Plan'!P199)*'B. Implementation Plan'!P200*(1-'B. Implementation Plan'!P198)^($C563-1),N543*(1-'B. Implementation Plan'!P199)*'B. Implementation Plan'!P200*(1-'B. Implementation Plan'!P198)^($C563-1)),0),0)</f>
        <v>0</v>
      </c>
      <c r="P563" s="78" t="str">
        <f t="shared" ref="P563:P571" ca="1" si="387">IF(SUM(F563:O563)&gt;0,SUM(F563:O563),"")</f>
        <v/>
      </c>
    </row>
    <row r="564" spans="3:16" s="365" customFormat="1" x14ac:dyDescent="0.3">
      <c r="C564" s="370">
        <v>3</v>
      </c>
      <c r="E564"/>
      <c r="F564"/>
      <c r="G564"/>
      <c r="H564" s="347">
        <f>IF($C564&lt;=ROUNDUP('B. Implementation Plan'!P201,0),ROUND(IF(AND($C564-'B. Implementation Plan'!P201&lt;1,$C564-'B. Implementation Plan'!P201&gt;0),MOD('B. Implementation Plan'!P201,1)*(E543+F543)*(1-'B. Implementation Plan'!P199)*'B. Implementation Plan'!P200*(1-'B. Implementation Plan'!P198)^($C564-1),(E543+F543)*(1-'B. Implementation Plan'!P199)*'B. Implementation Plan'!P200*(1-'B. Implementation Plan'!P198)^($C564-1)),0),0)</f>
        <v>0</v>
      </c>
      <c r="I564" s="347">
        <f>IF($C564&lt;=ROUNDUP('B. Implementation Plan'!P201,0),ROUND(IF(AND($C564-'B. Implementation Plan'!P201&lt;1,$C564-'B. Implementation Plan'!P201&gt;0),MOD('B. Implementation Plan'!P201,1)*G543*(1-'B. Implementation Plan'!P199)*'B. Implementation Plan'!P200*(1-'B. Implementation Plan'!P198)^($C564-1),G543*(1-'B. Implementation Plan'!P199)*'B. Implementation Plan'!P200*(1-'B. Implementation Plan'!P198)^($C564-1)),0),0)</f>
        <v>0</v>
      </c>
      <c r="J564" s="347">
        <f>IF($C564&lt;=ROUNDUP('B. Implementation Plan'!P201,0),ROUND(IF(AND($C564-'B. Implementation Plan'!P201&lt;1,$C564-'B. Implementation Plan'!P201&gt;0),MOD('B. Implementation Plan'!P201,1)*H543*(1-'B. Implementation Plan'!P199)*'B. Implementation Plan'!P200*(1-'B. Implementation Plan'!P198)^($C564-1),H543*(1-'B. Implementation Plan'!P199)*'B. Implementation Plan'!P200*(1-'B. Implementation Plan'!P198)^($C564-1)),0),0)</f>
        <v>0</v>
      </c>
      <c r="K564" s="347">
        <f>IF($C564&lt;=ROUNDUP('B. Implementation Plan'!P201,0),ROUND(IF(AND($C564-'B. Implementation Plan'!P201&lt;1,$C564-'B. Implementation Plan'!P201&gt;0),MOD('B. Implementation Plan'!P201,1)*I543*(1-'B. Implementation Plan'!P199)*'B. Implementation Plan'!P200*(1-'B. Implementation Plan'!P198)^($C564-1),I543*(1-'B. Implementation Plan'!P199)*'B. Implementation Plan'!P200*(1-'B. Implementation Plan'!P198)^($C564-1)),0),0)</f>
        <v>0</v>
      </c>
      <c r="L564" s="347">
        <f>IF($C564&lt;=ROUNDUP('B. Implementation Plan'!P201,0),ROUND(IF(AND($C564-'B. Implementation Plan'!P201&lt;1,$C564-'B. Implementation Plan'!P201&gt;0),MOD('B. Implementation Plan'!P201,1)*J543*(1-'B. Implementation Plan'!P199)*'B. Implementation Plan'!P200*(1-'B. Implementation Plan'!P198)^($C564-1),J543*(1-'B. Implementation Plan'!P199)*'B. Implementation Plan'!P200*(1-'B. Implementation Plan'!P198)^($C564-1)),0),0)</f>
        <v>0</v>
      </c>
      <c r="M564" s="347">
        <f>IF($C564&lt;=ROUNDUP('B. Implementation Plan'!P201,0),ROUND(IF(AND($C564-'B. Implementation Plan'!P201&lt;1,$C564-'B. Implementation Plan'!P201&gt;0),MOD('B. Implementation Plan'!P201,1)*K543*(1-'B. Implementation Plan'!P199)*'B. Implementation Plan'!P200*(1-'B. Implementation Plan'!P198)^($C564-1),K543*(1-'B. Implementation Plan'!P199)*'B. Implementation Plan'!P200*(1-'B. Implementation Plan'!P198)^($C564-1)),0),0)</f>
        <v>0</v>
      </c>
      <c r="N564" s="347">
        <f>IF($C564&lt;=ROUNDUP('B. Implementation Plan'!P201,0),ROUND(IF(AND($C564-'B. Implementation Plan'!P201&lt;1,$C564-'B. Implementation Plan'!P201&gt;0),MOD('B. Implementation Plan'!P201,1)*L543*(1-'B. Implementation Plan'!P199)*'B. Implementation Plan'!P200*(1-'B. Implementation Plan'!P198)^($C564-1),L543*(1-'B. Implementation Plan'!P199)*'B. Implementation Plan'!P200*(1-'B. Implementation Plan'!P198)^($C564-1)),0),0)</f>
        <v>0</v>
      </c>
      <c r="O564" s="347">
        <f>IF($C564&lt;=ROUNDUP('B. Implementation Plan'!P201,0),ROUND(IF(AND($C564-'B. Implementation Plan'!P201&lt;1,$C564-'B. Implementation Plan'!P201&gt;0),MOD('B. Implementation Plan'!P201,1)*M543*(1-'B. Implementation Plan'!P199)*'B. Implementation Plan'!P200*(1-'B. Implementation Plan'!P198)^($C564-1),M543*(1-'B. Implementation Plan'!P199)*'B. Implementation Plan'!P200*(1-'B. Implementation Plan'!P198)^($C564-1)),0),0)</f>
        <v>0</v>
      </c>
      <c r="P564" s="78" t="str">
        <f t="shared" si="387"/>
        <v/>
      </c>
    </row>
    <row r="565" spans="3:16" s="365" customFormat="1" x14ac:dyDescent="0.3">
      <c r="C565" s="370">
        <v>4</v>
      </c>
      <c r="D565" s="365" t="s">
        <v>361</v>
      </c>
      <c r="E565"/>
      <c r="F565"/>
      <c r="G565"/>
      <c r="H565"/>
      <c r="I565" s="347">
        <f>IF($C565&lt;=ROUNDUP('B. Implementation Plan'!P201,0),ROUND(IF(AND($C565-'B. Implementation Plan'!P201&lt;1,$C565-'B. Implementation Plan'!P201&gt;0),MOD('B. Implementation Plan'!P201,1)*(E543+F543)*(1-'B. Implementation Plan'!P199)*'B. Implementation Plan'!P200*(1-'B. Implementation Plan'!P198)^($C565-1),(E543+F543)*(1-'B. Implementation Plan'!P199)*'B. Implementation Plan'!P200*(1-'B. Implementation Plan'!P198)^($C565-1)),0),0)</f>
        <v>0</v>
      </c>
      <c r="J565" s="347">
        <f>IF($C565&lt;=ROUNDUP('B. Implementation Plan'!P201,0),ROUND(IF(AND($C565-'B. Implementation Plan'!P201&lt;1,$C565-'B. Implementation Plan'!P201&gt;0),MOD('B. Implementation Plan'!P201,1)*G543*(1-'B. Implementation Plan'!P199)*'B. Implementation Plan'!P200*(1-'B. Implementation Plan'!P198)^($C565-1),G543*(1-'B. Implementation Plan'!P199)*'B. Implementation Plan'!P200*(1-'B. Implementation Plan'!P198)^($C565-1)),0),0)</f>
        <v>0</v>
      </c>
      <c r="K565" s="347">
        <f>IF($C565&lt;=ROUNDUP('B. Implementation Plan'!P201,0),ROUND(IF(AND($C565-'B. Implementation Plan'!P201&lt;1,$C565-'B. Implementation Plan'!P201&gt;0),MOD('B. Implementation Plan'!P201,1)*H543*(1-'B. Implementation Plan'!P199)*'B. Implementation Plan'!P200*(1-'B. Implementation Plan'!P198)^($C565-1),H543*(1-'B. Implementation Plan'!P199)*'B. Implementation Plan'!P200*(1-'B. Implementation Plan'!P198)^($C565-1)),0),0)</f>
        <v>0</v>
      </c>
      <c r="L565" s="347">
        <f>IF($C565&lt;=ROUNDUP('B. Implementation Plan'!P201,0),ROUND(IF(AND($C565-'B. Implementation Plan'!P201&lt;1,$C565-'B. Implementation Plan'!P201&gt;0),MOD('B. Implementation Plan'!P201,1)*I543*(1-'B. Implementation Plan'!P199)*'B. Implementation Plan'!P200*(1-'B. Implementation Plan'!P198)^($C565-1),I543*(1-'B. Implementation Plan'!P199)*'B. Implementation Plan'!P200*(1-'B. Implementation Plan'!P198)^($C565-1)),0),0)</f>
        <v>0</v>
      </c>
      <c r="M565" s="347">
        <f>IF($C565&lt;=ROUNDUP('B. Implementation Plan'!P201,0),ROUND(IF(AND($C565-'B. Implementation Plan'!P201&lt;1,$C565-'B. Implementation Plan'!P201&gt;0),MOD('B. Implementation Plan'!P201,1)*J543*(1-'B. Implementation Plan'!P199)*'B. Implementation Plan'!P200*(1-'B. Implementation Plan'!P198)^($C565-1),J543*(1-'B. Implementation Plan'!P199)*'B. Implementation Plan'!P200*(1-'B. Implementation Plan'!P198)^($C565-1)),0),0)</f>
        <v>0</v>
      </c>
      <c r="N565" s="347">
        <f>IF($C565&lt;=ROUNDUP('B. Implementation Plan'!P201,0),ROUND(IF(AND($C565-'B. Implementation Plan'!P201&lt;1,$C565-'B. Implementation Plan'!P201&gt;0),MOD('B. Implementation Plan'!P201,1)*K543*(1-'B. Implementation Plan'!P199)*'B. Implementation Plan'!P200*(1-'B. Implementation Plan'!P198)^($C565-1),K543*(1-'B. Implementation Plan'!P199)*'B. Implementation Plan'!P200*(1-'B. Implementation Plan'!P198)^($C565-1)),0),0)</f>
        <v>0</v>
      </c>
      <c r="O565" s="347">
        <f>IF($C565&lt;=ROUNDUP('B. Implementation Plan'!P201,0),ROUND(IF(AND($C565-'B. Implementation Plan'!P201&lt;1,$C565-'B. Implementation Plan'!P201&gt;0),MOD('B. Implementation Plan'!P201,1)*L543*(1-'B. Implementation Plan'!P199)*'B. Implementation Plan'!P200*(1-'B. Implementation Plan'!P198)^($C565-1),L543*(1-'B. Implementation Plan'!P199)*'B. Implementation Plan'!P200*(1-'B. Implementation Plan'!P198)^($C565-1)),0),0)</f>
        <v>0</v>
      </c>
      <c r="P565" s="78" t="str">
        <f t="shared" si="387"/>
        <v/>
      </c>
    </row>
    <row r="566" spans="3:16" s="365" customFormat="1" x14ac:dyDescent="0.3">
      <c r="C566" s="370">
        <v>5</v>
      </c>
      <c r="E566"/>
      <c r="F566"/>
      <c r="G566"/>
      <c r="H566"/>
      <c r="I566"/>
      <c r="J566" s="347">
        <f>IF($C566&lt;=ROUNDUP('B. Implementation Plan'!P201,0),ROUND(IF(AND($C566-'B. Implementation Plan'!P201&lt;1,$C566-'B. Implementation Plan'!P201&gt;0),MOD('B. Implementation Plan'!P201,1)*(E543+F543)*(1-'B. Implementation Plan'!P199)*'B. Implementation Plan'!P200*(1-'B. Implementation Plan'!P198)^($C566-1),(E543+F543)*(1-'B. Implementation Plan'!P199)*'B. Implementation Plan'!P200*(1-'B. Implementation Plan'!P198)^($C566-1)),0),0)</f>
        <v>0</v>
      </c>
      <c r="K566" s="347">
        <f>IF($C566&lt;=ROUNDUP('B. Implementation Plan'!P201,0),ROUND(IF(AND($C566-'B. Implementation Plan'!P201&lt;1,$C566-'B. Implementation Plan'!P201&gt;0),MOD('B. Implementation Plan'!P201,1)*G543*(1-'B. Implementation Plan'!P199)*'B. Implementation Plan'!P200*(1-'B. Implementation Plan'!P198)^($C566-1),G543*(1-'B. Implementation Plan'!P199)*'B. Implementation Plan'!P200*(1-'B. Implementation Plan'!P198)^($C566-1)),0),0)</f>
        <v>0</v>
      </c>
      <c r="L566" s="347">
        <f>IF($C566&lt;=ROUNDUP('B. Implementation Plan'!P201,0),ROUND(IF(AND($C566-'B. Implementation Plan'!P201&lt;1,$C566-'B. Implementation Plan'!P201&gt;0),MOD('B. Implementation Plan'!P201,1)*H543*(1-'B. Implementation Plan'!P199)*'B. Implementation Plan'!P200*(1-'B. Implementation Plan'!P198)^($C566-1),H543*(1-'B. Implementation Plan'!P199)*'B. Implementation Plan'!P200*(1-'B. Implementation Plan'!P198)^($C566-1)),0),0)</f>
        <v>0</v>
      </c>
      <c r="M566" s="347">
        <f>IF($C566&lt;=ROUNDUP('B. Implementation Plan'!P201,0),ROUND(IF(AND($C566-'B. Implementation Plan'!P201&lt;1,$C566-'B. Implementation Plan'!P201&gt;0),MOD('B. Implementation Plan'!P201,1)*I543*(1-'B. Implementation Plan'!P199)*'B. Implementation Plan'!P200*(1-'B. Implementation Plan'!P198)^($C566-1),I543*(1-'B. Implementation Plan'!P199)*'B. Implementation Plan'!P200*(1-'B. Implementation Plan'!P198)^($C566-1)),0),0)</f>
        <v>0</v>
      </c>
      <c r="N566" s="347">
        <f>IF($C566&lt;=ROUNDUP('B. Implementation Plan'!P201,0),ROUND(IF(AND($C566-'B. Implementation Plan'!P201&lt;1,$C566-'B. Implementation Plan'!P201&gt;0),MOD('B. Implementation Plan'!P201,1)*J543*(1-'B. Implementation Plan'!P199)*'B. Implementation Plan'!P200*(1-'B. Implementation Plan'!P198)^($C566-1),J543*(1-'B. Implementation Plan'!P199)*'B. Implementation Plan'!P200*(1-'B. Implementation Plan'!P198)^($C566-1)),0),0)</f>
        <v>0</v>
      </c>
      <c r="O566" s="347">
        <f>IF($C566&lt;=ROUNDUP('B. Implementation Plan'!P201,0),ROUND(IF(AND($C566-'B. Implementation Plan'!P201&lt;1,$C566-'B. Implementation Plan'!P201&gt;0),MOD('B. Implementation Plan'!P201,1)*O543*(1-'B. Implementation Plan'!P199)*'B. Implementation Plan'!P200*(1-'B. Implementation Plan'!P198)^C566,O543*(1-'B. Implementation Plan'!P199)*'B. Implementation Plan'!P200*(1-'B. Implementation Plan'!P198)^($C566-1)),0),0)</f>
        <v>0</v>
      </c>
      <c r="P566" s="78" t="str">
        <f t="shared" si="387"/>
        <v/>
      </c>
    </row>
    <row r="567" spans="3:16" s="365" customFormat="1" x14ac:dyDescent="0.3">
      <c r="C567" s="370">
        <v>6</v>
      </c>
      <c r="E567"/>
      <c r="F567"/>
      <c r="G567"/>
      <c r="H567"/>
      <c r="I567"/>
      <c r="J567"/>
      <c r="K567" s="347">
        <f>IF($C567&lt;=ROUNDUP('B. Implementation Plan'!P201,0),ROUND(IF(AND($C567-'B. Implementation Plan'!P201&lt;1,$C567-'B. Implementation Plan'!P201&gt;0),MOD('B. Implementation Plan'!P201,1)*(E543+F543)*(1-'B. Implementation Plan'!P199)*'B. Implementation Plan'!P200*(1-'B. Implementation Plan'!P198)^($C567-1),(E543+F543)*(1-'B. Implementation Plan'!P199)*'B. Implementation Plan'!P200*(1-'B. Implementation Plan'!P198)^($C567-1)),0),0)</f>
        <v>0</v>
      </c>
      <c r="L567" s="347">
        <f>IF($C567&lt;=ROUNDUP('B. Implementation Plan'!P201,0),ROUND(IF(AND($C567-'B. Implementation Plan'!P201&lt;1,$C567-'B. Implementation Plan'!P201&gt;0),MOD('B. Implementation Plan'!P201,1)*G543*(1-'B. Implementation Plan'!P199)*'B. Implementation Plan'!P200*(1-'B. Implementation Plan'!P198)^($C567-1),G543*(1-'B. Implementation Plan'!P199)*'B. Implementation Plan'!P200*(1-'B. Implementation Plan'!P198)^($C567-1)),0),0)</f>
        <v>0</v>
      </c>
      <c r="M567" s="347">
        <f>IF($C567&lt;=ROUNDUP('B. Implementation Plan'!P201,0),ROUND(IF(AND($C567-'B. Implementation Plan'!P201&lt;1,$C567-'B. Implementation Plan'!P201&gt;0),MOD('B. Implementation Plan'!P201,1)*H543*(1-'B. Implementation Plan'!P199)*'B. Implementation Plan'!P200*(1-'B. Implementation Plan'!P198)^($C567-1),H543*(1-'B. Implementation Plan'!P199)*'B. Implementation Plan'!P200*(1-'B. Implementation Plan'!P198)^($C567-1)),0),0)</f>
        <v>0</v>
      </c>
      <c r="N567" s="347">
        <f>IF($C567&lt;=ROUNDUP('B. Implementation Plan'!P201,0),ROUND(IF(AND($C567-'B. Implementation Plan'!P201&lt;1,$C567-'B. Implementation Plan'!P201&gt;0),MOD('B. Implementation Plan'!P201,1)*I543*(1-'B. Implementation Plan'!P199)*'B. Implementation Plan'!P200*(1-'B. Implementation Plan'!P198)^($C567-1),I543*(1-'B. Implementation Plan'!P199)*'B. Implementation Plan'!P200*(1-'B. Implementation Plan'!P198)^($C567-1)),0),0)</f>
        <v>0</v>
      </c>
      <c r="O567" s="347">
        <f>IF($C567&lt;=ROUNDUP('B. Implementation Plan'!P201,0),ROUND(IF(AND($C567-'B. Implementation Plan'!P201&lt;1,$C567-'B. Implementation Plan'!P201&gt;0),MOD('B. Implementation Plan'!P201,1)*J543*(1-'B. Implementation Plan'!P199)*'B. Implementation Plan'!P200*(1-'B. Implementation Plan'!P198)^($C567-1),J543*(1-'B. Implementation Plan'!P199)*'B. Implementation Plan'!P200*(1-'B. Implementation Plan'!P198)^($C567-1)),0),0)</f>
        <v>0</v>
      </c>
      <c r="P567" s="78" t="str">
        <f t="shared" si="387"/>
        <v/>
      </c>
    </row>
    <row r="568" spans="3:16" s="365" customFormat="1" x14ac:dyDescent="0.3">
      <c r="C568" s="370">
        <v>7</v>
      </c>
      <c r="E568"/>
      <c r="F568"/>
      <c r="G568"/>
      <c r="H568"/>
      <c r="I568"/>
      <c r="J568"/>
      <c r="K568"/>
      <c r="L568" s="347">
        <f>IF($C568&lt;=ROUNDUP('B. Implementation Plan'!P201,0),ROUND(IF(AND($C568-'B. Implementation Plan'!P201&lt;1,$C568-'B. Implementation Plan'!P201&gt;0),MOD('B. Implementation Plan'!P201,1)*(E543+F543)*(1-'B. Implementation Plan'!P199)*'B. Implementation Plan'!P200*(1-'B. Implementation Plan'!P198)^($C568-1),(E543+F543)*(1-'B. Implementation Plan'!P199)*'B. Implementation Plan'!P200*(1-'B. Implementation Plan'!P198)^($C568-1)),0),0)</f>
        <v>0</v>
      </c>
      <c r="M568" s="347">
        <f>IF($C568&lt;=ROUNDUP('B. Implementation Plan'!P201,0),ROUND(IF(AND($C568-'B. Implementation Plan'!P201&lt;1,$C568-'B. Implementation Plan'!P201&gt;0),MOD('B. Implementation Plan'!P201,1)*G543*(1-'B. Implementation Plan'!P199)*'B. Implementation Plan'!P200*(1-'B. Implementation Plan'!P198)^($C568-1),G543*(1-'B. Implementation Plan'!P199)*'B. Implementation Plan'!P200*(1-'B. Implementation Plan'!P198)^($C568-1)),0),0)</f>
        <v>0</v>
      </c>
      <c r="N568" s="347">
        <f>IF($C568&lt;=ROUNDUP('B. Implementation Plan'!P201,0),ROUND(IF(AND($C568-'B. Implementation Plan'!P201&lt;1,$C568-'B. Implementation Plan'!P201&gt;0),MOD('B. Implementation Plan'!P201,1)*H543*(1-'B. Implementation Plan'!P199)*'B. Implementation Plan'!P200*(1-'B. Implementation Plan'!P198)^($C568-1),H543*(1-'B. Implementation Plan'!P199)*'B. Implementation Plan'!P200*(1-'B. Implementation Plan'!P198)^($C568-1)),0),0)</f>
        <v>0</v>
      </c>
      <c r="O568" s="347">
        <f>IF($C568&lt;=ROUNDUP('B. Implementation Plan'!P201,0),ROUND(IF(AND($C568-'B. Implementation Plan'!P201&lt;1,$C568-'B. Implementation Plan'!P201&gt;0),MOD('B. Implementation Plan'!P201,1)*I543*(1-'B. Implementation Plan'!P199)*'B. Implementation Plan'!P200*(1-'B. Implementation Plan'!P198)^($C568-1),I543*(1-'B. Implementation Plan'!P199)*'B. Implementation Plan'!P200*(1-'B. Implementation Plan'!P198)^($C568-1)),0),0)</f>
        <v>0</v>
      </c>
      <c r="P568" s="78" t="str">
        <f t="shared" si="387"/>
        <v/>
      </c>
    </row>
    <row r="569" spans="3:16" s="365" customFormat="1" x14ac:dyDescent="0.3">
      <c r="C569" s="370">
        <v>8</v>
      </c>
      <c r="E569"/>
      <c r="F569"/>
      <c r="G569"/>
      <c r="H569"/>
      <c r="I569"/>
      <c r="J569"/>
      <c r="K569"/>
      <c r="L569"/>
      <c r="M569" s="347">
        <f>IF($C569&lt;=ROUNDUP('B. Implementation Plan'!P201,0),ROUND(IF(AND($C569-'B. Implementation Plan'!P201&lt;1,$C569-'B. Implementation Plan'!P201&gt;0),MOD('B. Implementation Plan'!P201,1)*(E543+F543)*(1-'B. Implementation Plan'!P199)*'B. Implementation Plan'!P200*(1-'B. Implementation Plan'!P198)^($C569-1),(E543+F543)*(1-'B. Implementation Plan'!P199)*'B. Implementation Plan'!P200*(1-'B. Implementation Plan'!P198)^($C569-1)),0),0)</f>
        <v>0</v>
      </c>
      <c r="N569" s="347">
        <f>IF($C569&lt;=ROUNDUP('B. Implementation Plan'!P201,0),ROUND(IF(AND($C569-'B. Implementation Plan'!P201&lt;1,$C569-'B. Implementation Plan'!P201&gt;0),MOD('B. Implementation Plan'!P201,1)*G543*(1-'B. Implementation Plan'!P199)*'B. Implementation Plan'!P200*(1-'B. Implementation Plan'!P198)^($C569-1),G543*(1-'B. Implementation Plan'!P199)*'B. Implementation Plan'!P200*(1-'B. Implementation Plan'!P198)^($C569-1)),0),0)</f>
        <v>0</v>
      </c>
      <c r="O569" s="347">
        <f>IF($C569&lt;=ROUNDUP('B. Implementation Plan'!P201,0),ROUND(IF(AND($C569-'B. Implementation Plan'!P201&lt;1,$C569-'B. Implementation Plan'!P201&gt;0),MOD('B. Implementation Plan'!P201,1)*H543*(1-'B. Implementation Plan'!P199)*'B. Implementation Plan'!P200*(1-'B. Implementation Plan'!P198)^($C569-1),H543*(1-'B. Implementation Plan'!P199)*'B. Implementation Plan'!P200*(1-'B. Implementation Plan'!P198)^($C569-1)),0),0)</f>
        <v>0</v>
      </c>
      <c r="P569" s="78" t="str">
        <f t="shared" si="387"/>
        <v/>
      </c>
    </row>
    <row r="570" spans="3:16" s="365" customFormat="1" x14ac:dyDescent="0.3">
      <c r="C570" s="370">
        <v>9</v>
      </c>
      <c r="E570"/>
      <c r="F570"/>
      <c r="G570"/>
      <c r="H570"/>
      <c r="I570"/>
      <c r="J570"/>
      <c r="K570"/>
      <c r="L570"/>
      <c r="M570"/>
      <c r="N570" s="347">
        <f>IF($C570&lt;=ROUNDUP('B. Implementation Plan'!P201,0),ROUND(IF(AND($C570-'B. Implementation Plan'!P201&lt;1,$C570-'B. Implementation Plan'!P201&gt;0),MOD('B. Implementation Plan'!P201,1)*(E543+F543)*(1-'B. Implementation Plan'!P199)*'B. Implementation Plan'!P200*(1-'B. Implementation Plan'!P198)^($C570-1),(E543+F543)*(1-'B. Implementation Plan'!P199)*'B. Implementation Plan'!P200*(1-'B. Implementation Plan'!P198)^($C570-1)),0),0)</f>
        <v>0</v>
      </c>
      <c r="O570" s="347">
        <f>IF($C570&lt;=ROUNDUP('B. Implementation Plan'!P201,0),ROUND(IF(AND($C570-'B. Implementation Plan'!P201&lt;1,$C570-'B. Implementation Plan'!P201&gt;0),MOD('B. Implementation Plan'!P201,1)*G543*(1-'B. Implementation Plan'!P199)*'B. Implementation Plan'!P200*(1-'B. Implementation Plan'!P198)^($C570-1),G543*(1-'B. Implementation Plan'!P199)*'B. Implementation Plan'!P200*(1-'B. Implementation Plan'!P198)^($C570-1)),0),0)</f>
        <v>0</v>
      </c>
      <c r="P570" s="78" t="str">
        <f t="shared" si="387"/>
        <v/>
      </c>
    </row>
    <row r="571" spans="3:16" s="365" customFormat="1" x14ac:dyDescent="0.3">
      <c r="C571" s="370">
        <v>10</v>
      </c>
      <c r="E571"/>
      <c r="F571"/>
      <c r="G571"/>
      <c r="H571"/>
      <c r="I571"/>
      <c r="J571"/>
      <c r="K571"/>
      <c r="L571"/>
      <c r="M571"/>
      <c r="N571" s="19"/>
      <c r="O571" s="347">
        <f>IF($C571&lt;=ROUNDUP('B. Implementation Plan'!P201,0),ROUND(IF(AND($C571-'B. Implementation Plan'!P201&lt;1,$C571-'B. Implementation Plan'!P201&gt;0),MOD('B. Implementation Plan'!P201,1)*(E543+F543)*(1-'B. Implementation Plan'!P199)*'B. Implementation Plan'!P200*(1-'B. Implementation Plan'!P198)^($C571-1),(E543+F543)*(1-'B. Implementation Plan'!P199)*'B. Implementation Plan'!P200*(1-'B. Implementation Plan'!P198)^($C571-1)),0),0)</f>
        <v>0</v>
      </c>
      <c r="P571" s="78" t="str">
        <f t="shared" si="387"/>
        <v/>
      </c>
    </row>
    <row r="572" spans="3:16" s="1" customFormat="1" x14ac:dyDescent="0.3">
      <c r="C572" s="376" t="s">
        <v>515</v>
      </c>
      <c r="E572"/>
      <c r="F572" s="371">
        <f t="shared" ref="F572:O572" ca="1" si="388">IF(F538&gt;0,SUM(F562:F571),0)</f>
        <v>0</v>
      </c>
      <c r="G572" s="371">
        <f t="shared" ca="1" si="388"/>
        <v>0</v>
      </c>
      <c r="H572" s="371">
        <f t="shared" ca="1" si="388"/>
        <v>0</v>
      </c>
      <c r="I572" s="371">
        <f t="shared" ca="1" si="388"/>
        <v>0</v>
      </c>
      <c r="J572" s="371">
        <f t="shared" ca="1" si="388"/>
        <v>0</v>
      </c>
      <c r="K572" s="371">
        <f t="shared" ca="1" si="388"/>
        <v>0</v>
      </c>
      <c r="L572" s="371">
        <f t="shared" ca="1" si="388"/>
        <v>0</v>
      </c>
      <c r="M572" s="371">
        <f t="shared" ca="1" si="388"/>
        <v>0</v>
      </c>
      <c r="N572" s="371">
        <f t="shared" ca="1" si="388"/>
        <v>0</v>
      </c>
      <c r="O572" s="371">
        <f t="shared" ca="1" si="388"/>
        <v>0</v>
      </c>
      <c r="P572" s="325">
        <f ca="1">SUM(E572:O572)</f>
        <v>0</v>
      </c>
    </row>
    <row r="573" spans="3:16" s="1" customFormat="1" x14ac:dyDescent="0.3">
      <c r="C573" s="353" t="s">
        <v>517</v>
      </c>
      <c r="E573"/>
      <c r="F573" s="324">
        <f ca="1">MIN(IFERROR(ROUNDUP(IF(F538&gt;0,INDEX(F562:F571,MATCH(9.99999999999999E+307,P562:P571))/IF(MOD('B. Implementation Plan'!P201,1)=0,1,MOD('B. Implementation Plan'!P201,1)),0),0),0),MAX(E562:E571))</f>
        <v>0</v>
      </c>
      <c r="G573" s="324">
        <f ca="1">MIN(IFERROR(ROUNDUP(IF(G538&gt;0,INDEX(G562:G571,MATCH(9.99999999999999E+307,P562:P571))/IF(MOD('B. Implementation Plan'!P201,1)=0,1,MOD('B. Implementation Plan'!P201,1)),0),0),0),MAX(E562:F571))</f>
        <v>0</v>
      </c>
      <c r="H573" s="324">
        <f ca="1">MIN(IFERROR(ROUNDUP(IF(H538&gt;0,INDEX(H562:H571,MATCH(9.99999999999999E+307,P562:P571))/IF(MOD('B. Implementation Plan'!P201,1)=0,1,MOD('B. Implementation Plan'!P201,1)),0),0),0),MAX(E562:G571))</f>
        <v>0</v>
      </c>
      <c r="I573" s="324">
        <f ca="1">MIN(IFERROR(ROUNDUP(IF(I538&gt;0,INDEX(I562:I571,MATCH(9.99999999999999E+307,P562:P571))/IF(MOD('B. Implementation Plan'!P201,1)=0,1,MOD('B. Implementation Plan'!P201,1)),0),0),0),MAX(E562:H571))</f>
        <v>0</v>
      </c>
      <c r="J573" s="324">
        <f ca="1">MIN(IFERROR(ROUNDUP(IF(J538&gt;0,INDEX(J562:J571,MATCH(9.99999999999999E+307,P562:P571))/IF(MOD('B. Implementation Plan'!P201,1)=0,1,MOD('B. Implementation Plan'!P201,1)),0),0),0),MAX(E562:I571))</f>
        <v>0</v>
      </c>
      <c r="K573" s="324">
        <f ca="1">MIN(IFERROR(ROUNDUP(IF(K538&gt;0,INDEX(K562:K571,MATCH(9.99999999999999E+307,P562:P571))/IF(MOD('B. Implementation Plan'!P201,1)=0,1,MOD('B. Implementation Plan'!P201,1)),0),0),0),MAX(E562:J571))</f>
        <v>0</v>
      </c>
      <c r="L573" s="324">
        <f ca="1">MIN(IFERROR(ROUNDUP(IF(L538&gt;0,INDEX(L562:L571,MATCH(9.99999999999999E+307,P562:P571))/IF(MOD('B. Implementation Plan'!P201,1)=0,1,MOD('B. Implementation Plan'!P201,1)),0),0),0),MAX(E562:K571))</f>
        <v>0</v>
      </c>
      <c r="M573" s="324">
        <f ca="1">MIN(IFERROR(ROUNDUP(IF(M538&gt;0,INDEX(M562:M571,MATCH(9.99999999999999E+307,P562:P571))/IF(MOD('B. Implementation Plan'!P201,1)=0,1,MOD('B. Implementation Plan'!P201,1)),0),0),0),MAX(E562:L571))</f>
        <v>0</v>
      </c>
      <c r="N573" s="324">
        <f ca="1">MIN(IFERROR(ROUNDUP(IF(N538&gt;0,INDEX(N562:N571,MATCH(9.99999999999999E+307,P562:P571))/IF(MOD('B. Implementation Plan'!P201,1)=0,1,MOD('B. Implementation Plan'!P201,1)),0),0),0),MAX(E562:M571))</f>
        <v>0</v>
      </c>
      <c r="O573" s="324">
        <f ca="1">MIN(IFERROR(ROUNDUP(IF(O538&gt;0,INDEX(O562:O571,MATCH(9.99999999999999E+307,P562:P571))/IF(MOD('B. Implementation Plan'!P201,1)=0,1,MOD('B. Implementation Plan'!P201,1)),0),0),0),MAX(E562:N571))</f>
        <v>0</v>
      </c>
      <c r="P573" s="325">
        <f ca="1">SUM(E573:O573)</f>
        <v>0</v>
      </c>
    </row>
    <row r="574" spans="3:16" s="365" customFormat="1" x14ac:dyDescent="0.3">
      <c r="C574" s="326" t="s">
        <v>516</v>
      </c>
      <c r="E574"/>
      <c r="F574" s="347">
        <f ca="1">ROUNDUP(IF(F538&gt;0,IF(SUM(E573:F573,E574:E574)*'B. Implementation Plan'!P198&gt;P573,0,-ROUND(SUM(E573:F573,E574:E574)*'B. Implementation Plan'!P198,0)),0),0)</f>
        <v>0</v>
      </c>
      <c r="G574" s="347">
        <f ca="1">ROUNDUP(IF(G538&gt;0,IF(SUM(E573:G573,E574:F574)*'B. Implementation Plan'!P198&gt;P573,0,-ROUND(SUM(E573:G573,E574:F574)*'B. Implementation Plan'!P198,0)),0),0)</f>
        <v>0</v>
      </c>
      <c r="H574" s="347">
        <f ca="1">ROUNDUP(IF(H538&gt;0,IF(SUM(E573:H573,E574:G574)*'B. Implementation Plan'!P198&gt;P573,0,-ROUND(SUM(E573:H573,E574:G574)*'B. Implementation Plan'!P198,0)),0),0)</f>
        <v>0</v>
      </c>
      <c r="I574" s="347">
        <f ca="1">ROUNDUP(IF(I538&gt;0,IF(SUM(E573:I573,E574:H574)*'B. Implementation Plan'!P198&gt;P573,0,-ROUND(SUM(E573:I573,E574:H574)*'B. Implementation Plan'!P198,0)),0),0)</f>
        <v>0</v>
      </c>
      <c r="J574" s="347">
        <f ca="1">ROUNDUP(IF(J538&gt;0,IF(SUM(E573:J573,E574:I574)*'B. Implementation Plan'!P198&gt;P573,0,-ROUND(SUM(E573:J573,E574:I574)*'B. Implementation Plan'!P198,0)),0),0)</f>
        <v>0</v>
      </c>
      <c r="K574" s="347">
        <f ca="1">ROUNDUP(IF(K538&gt;0,IF(SUM(E573:K573,E574:J574)*'B. Implementation Plan'!P198&gt;P573,0,-ROUND(SUM(E573:K573,E574:J574)*'B. Implementation Plan'!P198,0)),0),0)</f>
        <v>0</v>
      </c>
      <c r="L574" s="347">
        <f ca="1">ROUNDUP(IF(L538&gt;0,IF(SUM(E573:L573,E574:K574)*'B. Implementation Plan'!P198&gt;P573,0,-ROUND(SUM(E573:L573,E574:K574)*'B. Implementation Plan'!P198,0)),0),0)</f>
        <v>0</v>
      </c>
      <c r="M574" s="347">
        <f ca="1">ROUNDUP(IF(M538&gt;0,IF(SUM(E573:M573,E574:L574)*'B. Implementation Plan'!P198&gt;P573,0,-ROUND(SUM(E573:M573,E574:L574)*'B. Implementation Plan'!P198,0)),0),0)</f>
        <v>0</v>
      </c>
      <c r="N574" s="347">
        <f ca="1">ROUNDUP(IF(N538&gt;0,IF(SUM(E573:N573,E574:M574)*'B. Implementation Plan'!P198&gt;P573,0,-ROUND(SUM(E573:N573,E574:M574)*'B. Implementation Plan'!P198,0)),0),0)</f>
        <v>0</v>
      </c>
      <c r="O574" s="347">
        <f ca="1">ROUNDUP(IF(O538&gt;0,IF(SUM(E573:O573,E574:N574)*'B. Implementation Plan'!P198&gt;P573,0,-ROUND(SUM(E573:O573,E574:N574)*'B. Implementation Plan'!P198,0)),0),0)</f>
        <v>0</v>
      </c>
      <c r="P574" s="354">
        <f ca="1">SUM(E574:O574)</f>
        <v>0</v>
      </c>
    </row>
    <row r="575" spans="3:16" s="365" customFormat="1" ht="15" thickBot="1" x14ac:dyDescent="0.35">
      <c r="C575" s="326" t="s">
        <v>518</v>
      </c>
      <c r="E575"/>
      <c r="F575" s="347">
        <f ca="1">IF(F538&gt;0,SUM(E573:F574),0)</f>
        <v>0</v>
      </c>
      <c r="G575" s="347">
        <f ca="1">IF(G538&gt;0,SUM(E573:G574),0)</f>
        <v>0</v>
      </c>
      <c r="H575" s="347">
        <f ca="1">IF(H538&gt;0,SUM(E573:H574),0)</f>
        <v>0</v>
      </c>
      <c r="I575" s="347">
        <f ca="1">IF(I538&gt;0,SUM(E573:I574),0)</f>
        <v>0</v>
      </c>
      <c r="J575" s="347">
        <f ca="1">IF(J538&gt;0,SUM(E573:J574),0)</f>
        <v>0</v>
      </c>
      <c r="K575" s="347">
        <f ca="1">IF(K538&gt;0,SUM(E573:K574),0)</f>
        <v>0</v>
      </c>
      <c r="L575" s="347">
        <f ca="1">IF(L538&gt;0,SUM(E573:L574),0)</f>
        <v>0</v>
      </c>
      <c r="M575" s="347">
        <f ca="1">IF(M538&gt;0,SUM(E573:M574),0)</f>
        <v>0</v>
      </c>
      <c r="N575" s="347">
        <f ca="1">IF(N538&gt;0,SUM(E573:N574),0)</f>
        <v>0</v>
      </c>
      <c r="O575" s="369">
        <f ca="1">IF(O538&gt;0,SUM(E573:O574),0)</f>
        <v>0</v>
      </c>
      <c r="P575" s="375">
        <f t="shared" ref="P575" ca="1" si="389">IF(O575=0,IF(N575=0,IF(M575=0,IF(L575=0,IF(K575=0,IF(J575=0,IF(I575=0,IF(H575=0,IF(G575=0,IF(F575=0,E575,F575),G575),H575),I575),J575),K575),L575),M575),N575),O575)</f>
        <v>0</v>
      </c>
    </row>
    <row r="576" spans="3:16" ht="16.2" thickBot="1" x14ac:dyDescent="0.35">
      <c r="C576" s="16" t="s">
        <v>521</v>
      </c>
      <c r="E576" s="149">
        <v>0</v>
      </c>
      <c r="F576" s="149">
        <v>1</v>
      </c>
      <c r="G576" s="149">
        <v>2</v>
      </c>
      <c r="H576" s="149">
        <v>3</v>
      </c>
      <c r="I576" s="149">
        <v>4</v>
      </c>
      <c r="J576" s="149">
        <v>5</v>
      </c>
      <c r="K576" s="149">
        <v>6</v>
      </c>
      <c r="L576" s="149">
        <v>7</v>
      </c>
      <c r="M576" s="149">
        <v>8</v>
      </c>
      <c r="N576" s="149">
        <v>9</v>
      </c>
      <c r="O576" s="149">
        <v>10</v>
      </c>
      <c r="P576"/>
    </row>
    <row r="577" spans="1:16" s="1" customFormat="1" x14ac:dyDescent="0.3">
      <c r="C577" s="326" t="s">
        <v>527</v>
      </c>
      <c r="E577" s="372">
        <f ca="1">ROUNDUP(E540*'B. Implementation Plan'!E192+(E538-E540)*'B. Implementation Plan'!P199,0)</f>
        <v>0</v>
      </c>
      <c r="F577" s="372">
        <f ca="1">ROUNDUP(F540*'B. Implementation Plan'!E192+(F538-F540)*'B. Implementation Plan'!P199,0)</f>
        <v>0</v>
      </c>
      <c r="G577" s="372">
        <f ca="1">ROUNDUP(G540*'B. Implementation Plan'!E192+(G538-G540)*'B. Implementation Plan'!P199,0)</f>
        <v>0</v>
      </c>
      <c r="H577" s="372">
        <f ca="1">ROUNDUP(H540*'B. Implementation Plan'!E192+(H538-H540)*'B. Implementation Plan'!P199,0)</f>
        <v>0</v>
      </c>
      <c r="I577" s="372">
        <f ca="1">ROUNDUP(I540*'B. Implementation Plan'!E192+(I538-I540)*'B. Implementation Plan'!P199,0)</f>
        <v>0</v>
      </c>
      <c r="J577" s="372">
        <f ca="1">ROUNDUP(J540*'B. Implementation Plan'!E192+(J538-J540)*'B. Implementation Plan'!P199,0)</f>
        <v>0</v>
      </c>
      <c r="K577" s="372">
        <f ca="1">ROUNDUP(K540*'B. Implementation Plan'!E192+(K538-K540)*'B. Implementation Plan'!P199,0)</f>
        <v>0</v>
      </c>
      <c r="L577" s="372">
        <f ca="1">ROUNDUP(L540*'B. Implementation Plan'!E192+(L538-L540)*'B. Implementation Plan'!P199,0)</f>
        <v>0</v>
      </c>
      <c r="M577" s="372">
        <f ca="1">ROUNDUP(M540*'B. Implementation Plan'!E192+(M538-M540)*'B. Implementation Plan'!P199,0)</f>
        <v>0</v>
      </c>
      <c r="N577" s="372">
        <f ca="1">ROUNDUP(N540*'B. Implementation Plan'!E192+(N538-N540)*'B. Implementation Plan'!P199,0)</f>
        <v>0</v>
      </c>
      <c r="O577" s="372">
        <f ca="1">ROUNDUP(O540*'B. Implementation Plan'!E192+(O538-O540)*'B. Implementation Plan'!P199,0)</f>
        <v>0</v>
      </c>
      <c r="P577" s="379">
        <f t="shared" ref="P577:P578" ca="1" si="390">IF(O577=0,IF(N577=0,IF(M577=0,IF(L577=0,IF(K577=0,IF(J577=0,IF(I577=0,IF(H577=0,IF(G577=0,IF(F577=0,E577,F577),G577),H577),I577),J577),K577),L577),M577),N577),O577)</f>
        <v>0</v>
      </c>
    </row>
    <row r="578" spans="1:16" s="1" customFormat="1" x14ac:dyDescent="0.3">
      <c r="C578" s="326" t="s">
        <v>522</v>
      </c>
      <c r="E578" s="378">
        <f t="shared" ref="E578:O578" ca="1" si="391">IF(E538&gt;0,E577/E538,0)</f>
        <v>0</v>
      </c>
      <c r="F578" s="378">
        <f t="shared" ca="1" si="391"/>
        <v>0</v>
      </c>
      <c r="G578" s="378">
        <f t="shared" ca="1" si="391"/>
        <v>0</v>
      </c>
      <c r="H578" s="378">
        <f t="shared" ca="1" si="391"/>
        <v>0</v>
      </c>
      <c r="I578" s="378">
        <f t="shared" ca="1" si="391"/>
        <v>0</v>
      </c>
      <c r="J578" s="378">
        <f t="shared" ca="1" si="391"/>
        <v>0</v>
      </c>
      <c r="K578" s="378">
        <f t="shared" ca="1" si="391"/>
        <v>0</v>
      </c>
      <c r="L578" s="378">
        <f t="shared" ca="1" si="391"/>
        <v>0</v>
      </c>
      <c r="M578" s="378">
        <f t="shared" ca="1" si="391"/>
        <v>0</v>
      </c>
      <c r="N578" s="378">
        <f t="shared" ca="1" si="391"/>
        <v>0</v>
      </c>
      <c r="O578" s="378">
        <f t="shared" ca="1" si="391"/>
        <v>0</v>
      </c>
      <c r="P578" s="111">
        <f t="shared" ca="1" si="390"/>
        <v>0</v>
      </c>
    </row>
    <row r="579" spans="1:16" s="365" customFormat="1" x14ac:dyDescent="0.3">
      <c r="C579" s="326" t="s">
        <v>523</v>
      </c>
      <c r="F579" s="372">
        <f t="shared" ref="F579:O579" ca="1" si="392">F556+F572</f>
        <v>0</v>
      </c>
      <c r="G579" s="372">
        <f t="shared" ca="1" si="392"/>
        <v>0</v>
      </c>
      <c r="H579" s="372">
        <f t="shared" ca="1" si="392"/>
        <v>0</v>
      </c>
      <c r="I579" s="372">
        <f t="shared" ca="1" si="392"/>
        <v>0</v>
      </c>
      <c r="J579" s="372">
        <f t="shared" ca="1" si="392"/>
        <v>0</v>
      </c>
      <c r="K579" s="372">
        <f t="shared" ca="1" si="392"/>
        <v>0</v>
      </c>
      <c r="L579" s="372">
        <f t="shared" ca="1" si="392"/>
        <v>0</v>
      </c>
      <c r="M579" s="372">
        <f t="shared" ca="1" si="392"/>
        <v>0</v>
      </c>
      <c r="N579" s="372">
        <f t="shared" ca="1" si="392"/>
        <v>0</v>
      </c>
      <c r="O579" s="372">
        <f t="shared" ca="1" si="392"/>
        <v>0</v>
      </c>
      <c r="P579" s="354">
        <f ca="1">MAX(F579:O579)</f>
        <v>0</v>
      </c>
    </row>
    <row r="580" spans="1:16" s="1" customFormat="1" x14ac:dyDescent="0.3">
      <c r="C580" s="326" t="s">
        <v>558</v>
      </c>
      <c r="F580" s="371">
        <f ca="1">F559+F575</f>
        <v>0</v>
      </c>
      <c r="G580" s="371">
        <f t="shared" ref="G580:O580" ca="1" si="393">G559+G575</f>
        <v>0</v>
      </c>
      <c r="H580" s="371">
        <f t="shared" ca="1" si="393"/>
        <v>0</v>
      </c>
      <c r="I580" s="371">
        <f t="shared" ca="1" si="393"/>
        <v>0</v>
      </c>
      <c r="J580" s="371">
        <f t="shared" ca="1" si="393"/>
        <v>0</v>
      </c>
      <c r="K580" s="371">
        <f t="shared" ca="1" si="393"/>
        <v>0</v>
      </c>
      <c r="L580" s="371">
        <f t="shared" ca="1" si="393"/>
        <v>0</v>
      </c>
      <c r="M580" s="371">
        <f t="shared" ca="1" si="393"/>
        <v>0</v>
      </c>
      <c r="N580" s="371">
        <f t="shared" ca="1" si="393"/>
        <v>0</v>
      </c>
      <c r="O580" s="371">
        <f t="shared" ca="1" si="393"/>
        <v>0</v>
      </c>
      <c r="P580" s="354">
        <f t="shared" ref="P580:P581" ca="1" si="394">IF(O580=0,IF(N580=0,IF(M580=0,IF(L580=0,IF(K580=0,IF(J580=0,IF(I580=0,IF(H580=0,IF(G580=0,IF(F580=0,E580,F580),G580),H580),I580),J580),K580),L580),M580),N580),O580)</f>
        <v>0</v>
      </c>
    </row>
    <row r="581" spans="1:16" s="1" customFormat="1" ht="15" thickBot="1" x14ac:dyDescent="0.35">
      <c r="C581" s="353" t="s">
        <v>524</v>
      </c>
      <c r="E581" s="373">
        <f t="shared" ref="E581:O581" ca="1" si="395">IFERROR((E577+E580)/E538,0)</f>
        <v>0</v>
      </c>
      <c r="F581" s="373">
        <f t="shared" ca="1" si="395"/>
        <v>0</v>
      </c>
      <c r="G581" s="373">
        <f t="shared" ca="1" si="395"/>
        <v>0</v>
      </c>
      <c r="H581" s="373">
        <f t="shared" ca="1" si="395"/>
        <v>0</v>
      </c>
      <c r="I581" s="373">
        <f t="shared" ca="1" si="395"/>
        <v>0</v>
      </c>
      <c r="J581" s="373">
        <f t="shared" ca="1" si="395"/>
        <v>0</v>
      </c>
      <c r="K581" s="373">
        <f t="shared" ca="1" si="395"/>
        <v>0</v>
      </c>
      <c r="L581" s="373">
        <f t="shared" ca="1" si="395"/>
        <v>0</v>
      </c>
      <c r="M581" s="373">
        <f t="shared" ca="1" si="395"/>
        <v>0</v>
      </c>
      <c r="N581" s="373">
        <f t="shared" ca="1" si="395"/>
        <v>0</v>
      </c>
      <c r="O581" s="373">
        <f t="shared" ca="1" si="395"/>
        <v>0</v>
      </c>
      <c r="P581" s="190">
        <f t="shared" ca="1" si="394"/>
        <v>0</v>
      </c>
    </row>
    <row r="583" spans="1:16" ht="15" thickBot="1" x14ac:dyDescent="0.35"/>
    <row r="584" spans="1:16" s="67" customFormat="1" ht="15.6" x14ac:dyDescent="0.3">
      <c r="A584" s="62"/>
      <c r="B584" s="62" t="s">
        <v>537</v>
      </c>
      <c r="D584" s="65"/>
      <c r="E584" s="66">
        <v>0</v>
      </c>
      <c r="F584" s="66">
        <v>1</v>
      </c>
      <c r="G584" s="66">
        <v>2</v>
      </c>
      <c r="H584" s="66">
        <v>3</v>
      </c>
      <c r="I584" s="66">
        <v>4</v>
      </c>
      <c r="J584" s="66">
        <v>5</v>
      </c>
      <c r="K584" s="66">
        <v>6</v>
      </c>
      <c r="L584" s="66">
        <v>7</v>
      </c>
      <c r="M584" s="66">
        <v>8</v>
      </c>
      <c r="N584" s="66">
        <v>9</v>
      </c>
      <c r="O584" s="213">
        <v>10</v>
      </c>
      <c r="P584" s="351" t="s">
        <v>2</v>
      </c>
    </row>
    <row r="585" spans="1:16" x14ac:dyDescent="0.3">
      <c r="A585" s="1"/>
      <c r="B585" s="1"/>
      <c r="C585" s="326" t="s">
        <v>502</v>
      </c>
      <c r="D585" s="368"/>
      <c r="E585" s="15">
        <f ca="1">E122</f>
        <v>619</v>
      </c>
      <c r="F585" s="15">
        <f t="shared" ref="F585:O585" ca="1" si="396">F122</f>
        <v>635</v>
      </c>
      <c r="G585" s="15">
        <f t="shared" ca="1" si="396"/>
        <v>650</v>
      </c>
      <c r="H585" s="15">
        <f t="shared" ca="1" si="396"/>
        <v>666</v>
      </c>
      <c r="I585" s="15">
        <f t="shared" ca="1" si="396"/>
        <v>682</v>
      </c>
      <c r="J585" s="15">
        <f t="shared" ca="1" si="396"/>
        <v>697</v>
      </c>
      <c r="K585" s="15">
        <f t="shared" ca="1" si="396"/>
        <v>713</v>
      </c>
      <c r="L585" s="15">
        <f t="shared" ca="1" si="396"/>
        <v>728</v>
      </c>
      <c r="M585" s="15">
        <f t="shared" ca="1" si="396"/>
        <v>744</v>
      </c>
      <c r="N585" s="15">
        <f t="shared" ca="1" si="396"/>
        <v>760</v>
      </c>
      <c r="O585" s="15">
        <f t="shared" ca="1" si="396"/>
        <v>775</v>
      </c>
      <c r="P585" s="78">
        <f ca="1">IF(O585=0,IF(N585=0,IF(M585=0,IF(L585=0,IF(K585=0,IF(J585=0,IF(I585=0,IF(H585=0,IF(G585=0,IF(F585=0,E585,F585),G585),H585),I585),J585),K585),L585),M585),N585),O585)</f>
        <v>775</v>
      </c>
    </row>
    <row r="586" spans="1:16" x14ac:dyDescent="0.3">
      <c r="A586" s="1"/>
      <c r="B586" s="1"/>
      <c r="C586" s="326" t="s">
        <v>503</v>
      </c>
      <c r="D586" s="296"/>
      <c r="E586" s="15">
        <f ca="1">IF(E585&gt;0,'B. Implementation Plan'!F191,0)</f>
        <v>619</v>
      </c>
      <c r="F586" s="15">
        <f ca="1">IF(F585&gt;0,'B. Implementation Plan'!F191,0)</f>
        <v>619</v>
      </c>
      <c r="G586" s="15">
        <f ca="1">IF(G585&gt;0,'B. Implementation Plan'!F191,0)</f>
        <v>619</v>
      </c>
      <c r="H586" s="15">
        <f ca="1">IF(H585&gt;0,'B. Implementation Plan'!F191,0)</f>
        <v>619</v>
      </c>
      <c r="I586" s="15">
        <f ca="1">IF(I585&gt;0,'B. Implementation Plan'!F191,0)</f>
        <v>619</v>
      </c>
      <c r="J586" s="15">
        <f ca="1">IF(J585&gt;0,'B. Implementation Plan'!F191,0)</f>
        <v>619</v>
      </c>
      <c r="K586" s="15">
        <f ca="1">IF(K585&gt;0,'B. Implementation Plan'!F191,0)</f>
        <v>619</v>
      </c>
      <c r="L586" s="15">
        <f ca="1">IF(L585&gt;0,'B. Implementation Plan'!F191,0)</f>
        <v>619</v>
      </c>
      <c r="M586" s="15">
        <f ca="1">IF(M585&gt;0,'B. Implementation Plan'!F191,0)</f>
        <v>619</v>
      </c>
      <c r="N586" s="15">
        <f ca="1">IF(N585&gt;0,'B. Implementation Plan'!F191,0)</f>
        <v>619</v>
      </c>
      <c r="O586" s="15">
        <f ca="1">IF(O585&gt;0,'B. Implementation Plan'!F191,0)</f>
        <v>619</v>
      </c>
      <c r="P586" s="78">
        <f ca="1">IF(O586=0,IF(N586=0,IF(M586=0,IF(L586=0,IF(K586=0,IF(J586=0,IF(I586=0,IF(H586=0,IF(G586=0,IF(F586=0,E586,F586),G586),H586),I586),J586),K586),L586),M586),N586),O586)</f>
        <v>619</v>
      </c>
    </row>
    <row r="587" spans="1:16" x14ac:dyDescent="0.3">
      <c r="C587" s="59" t="s">
        <v>504</v>
      </c>
      <c r="E587" s="324">
        <f ca="1">IF(E585&gt;0,ROUND('B. Implementation Plan'!F191*(1-'B. Implementation Plan'!P198)^E584,0),0)</f>
        <v>619</v>
      </c>
      <c r="F587" s="324">
        <f ca="1">IF(F585&gt;0,ROUND('B. Implementation Plan'!F191*(1-'B. Implementation Plan'!P198)^F584,0),0)</f>
        <v>557</v>
      </c>
      <c r="G587" s="324">
        <f ca="1">IF(G585&gt;0,ROUND('B. Implementation Plan'!F191*(1-'B. Implementation Plan'!P198)^G584,0),0)</f>
        <v>501</v>
      </c>
      <c r="H587" s="324">
        <f ca="1">IF(H585&gt;0,ROUND('B. Implementation Plan'!F191*(1-'B. Implementation Plan'!P198)^H584,0),0)</f>
        <v>451</v>
      </c>
      <c r="I587" s="324">
        <f ca="1">IF(I585&gt;0,ROUND('B. Implementation Plan'!F191*(1-'B. Implementation Plan'!P198)^I584,0),0)</f>
        <v>406</v>
      </c>
      <c r="J587" s="324">
        <f ca="1">IF(J585&gt;0,ROUND('B. Implementation Plan'!F191*(1-'B. Implementation Plan'!P198)^J584,0),0)</f>
        <v>366</v>
      </c>
      <c r="K587" s="324">
        <f ca="1">IF(K585&gt;0,ROUND('B. Implementation Plan'!F191*(1-'B. Implementation Plan'!P198)^K584,0),0)</f>
        <v>329</v>
      </c>
      <c r="L587" s="324">
        <f ca="1">IF(L585&gt;0,ROUND('B. Implementation Plan'!F191*(1-'B. Implementation Plan'!P198)^L584,0),0)</f>
        <v>296</v>
      </c>
      <c r="M587" s="324">
        <f ca="1">IF(M585&gt;0,ROUND('B. Implementation Plan'!F191*(1-'B. Implementation Plan'!P198)^M584,0),0)</f>
        <v>266</v>
      </c>
      <c r="N587" s="324">
        <f ca="1">IF(N585&gt;0,ROUND('B. Implementation Plan'!F191*(1-'B. Implementation Plan'!P198)^N584,0),0)</f>
        <v>240</v>
      </c>
      <c r="O587" s="324">
        <f ca="1">IF(O585&gt;0,ROUND('B. Implementation Plan'!F191*(1-'B. Implementation Plan'!P198)^O584,0),0)</f>
        <v>216</v>
      </c>
      <c r="P587" s="78">
        <f ca="1">IF(O587=0,IF(N587=0,IF(M587=0,IF(L587=0,IF(K587=0,IF(J587=0,IF(I587=0,IF(H587=0,IF(G587=0,IF(F587=0,E587,F587),G587),H587),I587),J587),K587),L587),M587),N587),O587)</f>
        <v>216</v>
      </c>
    </row>
    <row r="588" spans="1:16" s="1" customFormat="1" x14ac:dyDescent="0.3">
      <c r="C588" s="59" t="s">
        <v>505</v>
      </c>
      <c r="E588" s="380"/>
      <c r="F588" s="324">
        <f ca="1">IF('B. Implementation Plan'!P197=0,0,IF(F584&lt;=ROUNDUP(1/'B. Implementation Plan'!P197,0),ROUND(IF(AND(F584-1/'B. Implementation Plan'!P197&lt;1,F584-1/'B. Implementation Plan'!P197&gt;0),F587*MOD(1/'B. Implementation Plan'!P197,1)/(1/'B. Implementation Plan'!P197),MIN(F587-SUM(E588:E588),F587*'B. Implementation Plan'!P197)*(1-'B. Implementation Plan'!F192)*'B. Implementation Plan'!F194),0),0))</f>
        <v>76</v>
      </c>
      <c r="G588" s="324">
        <f>IF('B. Implementation Plan'!P197=0,0,IF(G584&lt;=ROUNDUP(1/'B. Implementation Plan'!P197,0),ROUND(IF(AND(G584-1/'B. Implementation Plan'!P197&lt;1,G584-1/'B. Implementation Plan'!P197&gt;0),G587*MOD(1/'B. Implementation Plan'!P197,1)/(1/'B. Implementation Plan'!P197),MIN(G587-SUM(E588:F588),G587*'B. Implementation Plan'!P197)*(1-'B. Implementation Plan'!F192)*'B. Implementation Plan'!F194),0),0))</f>
        <v>0</v>
      </c>
      <c r="H588" s="324">
        <f>IF('B. Implementation Plan'!P197=0,0,IF(H584&lt;=ROUNDUP(1/'B. Implementation Plan'!P197,0),ROUND(IF(AND(H584-1/'B. Implementation Plan'!P197&lt;1,H584-1/'B. Implementation Plan'!P197&gt;0),H587*MOD(1/'B. Implementation Plan'!P197,1)/(1/'B. Implementation Plan'!P197),MIN(H587-SUM(E588:G588),H587*'B. Implementation Plan'!P197)*(1-'B. Implementation Plan'!F192)*'B. Implementation Plan'!F194),0),0))</f>
        <v>0</v>
      </c>
      <c r="I588" s="324">
        <f>IF('B. Implementation Plan'!P197=0,0,IF(I584&lt;=ROUNDUP(1/'B. Implementation Plan'!P197,0),ROUND(IF(AND(I584-1/'B. Implementation Plan'!P197&lt;1,I584-1/'B. Implementation Plan'!P197&gt;0),I587*MOD(1/'B. Implementation Plan'!P197,1)/(1/'B. Implementation Plan'!P197),MIN(I587-SUM(E588:H588),I587*'B. Implementation Plan'!P197)*(1-'B. Implementation Plan'!F192)*'B. Implementation Plan'!F194),0),0))</f>
        <v>0</v>
      </c>
      <c r="J588" s="324">
        <f>IF('B. Implementation Plan'!P197=0,0,IF(J584&lt;=ROUNDUP(1/'B. Implementation Plan'!P197,0),ROUND(IF(AND(J584-1/'B. Implementation Plan'!P197&lt;1,J584-1/'B. Implementation Plan'!P197&gt;0),J587*MOD(1/'B. Implementation Plan'!P197,1)/(1/'B. Implementation Plan'!P197),MIN(J587-SUM(E588:I588),J587*'B. Implementation Plan'!P197)*(1-'B. Implementation Plan'!F192)*'B. Implementation Plan'!F194),0),0))</f>
        <v>0</v>
      </c>
      <c r="K588" s="324">
        <f>IF('B. Implementation Plan'!P197=0,0,IF(K584&lt;=ROUNDUP(1/'B. Implementation Plan'!P197,0),ROUND(IF(AND(K584-1/'B. Implementation Plan'!P197&lt;1,K584-1/'B. Implementation Plan'!P197&gt;0),K587*MOD(1/'B. Implementation Plan'!P197,1)/(1/'B. Implementation Plan'!P197),MIN(K587-SUM(E588:J588),K587*'B. Implementation Plan'!P197)*(1-'B. Implementation Plan'!F192)*'B. Implementation Plan'!F194),0),0))</f>
        <v>0</v>
      </c>
      <c r="L588" s="324">
        <f>IF('B. Implementation Plan'!P197=0,0,IF(L584&lt;=ROUNDUP(1/'B. Implementation Plan'!P197,0),ROUND(IF(AND(L584-1/'B. Implementation Plan'!P197&lt;1,L584-1/'B. Implementation Plan'!P197&gt;0),L587*MOD(1/'B. Implementation Plan'!P197,1)/(1/'B. Implementation Plan'!P197),MIN(L587-SUM(E588:K588),L587*'B. Implementation Plan'!P197)*(1-'B. Implementation Plan'!F192)*'B. Implementation Plan'!F194),0),0))</f>
        <v>0</v>
      </c>
      <c r="M588" s="324">
        <f>IF('B. Implementation Plan'!P197=0,0,IF(M584&lt;=ROUNDUP(1/'B. Implementation Plan'!P197,0),ROUND(IF(AND(M584-1/'B. Implementation Plan'!P197&lt;1,M584-1/'B. Implementation Plan'!P197&gt;0),M587*MOD(1/'B. Implementation Plan'!P197,1)/(1/'B. Implementation Plan'!P197),MIN(M587-SUM(E588:L588),M587*'B. Implementation Plan'!P197)*(1-'B. Implementation Plan'!F192)*'B. Implementation Plan'!F194),0),0))</f>
        <v>0</v>
      </c>
      <c r="N588" s="324">
        <f>IF('B. Implementation Plan'!P197=0,0,IF(N584&lt;=ROUNDUP(1/'B. Implementation Plan'!P197,0),ROUND(IF(AND(N584-1/'B. Implementation Plan'!P197&lt;1,N584-1/'B. Implementation Plan'!P197&gt;0),N587*MOD(1/'B. Implementation Plan'!P197,1)/(1/'B. Implementation Plan'!P197),MIN(N587-SUM(E588:M588),N587*'B. Implementation Plan'!P197)*(1-'B. Implementation Plan'!F192)*'B. Implementation Plan'!F194),0),0))</f>
        <v>0</v>
      </c>
      <c r="O588" s="324">
        <f>IF('B. Implementation Plan'!P197=0,0,IF(O584&lt;=ROUNDUP(1/'B. Implementation Plan'!P197,0),ROUND(IF(AND(O584-1/'B. Implementation Plan'!P197&lt;1,O584-1/'B. Implementation Plan'!P197&gt;0),O587*MOD(1/'B. Implementation Plan'!P197,1)/(1/'B. Implementation Plan'!P197),MIN(O587-SUM(E588:N588),O587*'B. Implementation Plan'!P197)*(1-'B. Implementation Plan'!F192)*'B. Implementation Plan'!F194),0),0))</f>
        <v>0</v>
      </c>
      <c r="P588" s="325">
        <f ca="1">SUM(E588:O588)</f>
        <v>76</v>
      </c>
    </row>
    <row r="589" spans="1:16" x14ac:dyDescent="0.3">
      <c r="C589" s="326" t="s">
        <v>506</v>
      </c>
      <c r="E589" s="15">
        <f t="shared" ref="E589:O589" ca="1" si="397">MAX(E585-E587,0)</f>
        <v>0</v>
      </c>
      <c r="F589" s="15">
        <f t="shared" ca="1" si="397"/>
        <v>78</v>
      </c>
      <c r="G589" s="15">
        <f t="shared" ca="1" si="397"/>
        <v>149</v>
      </c>
      <c r="H589" s="15">
        <f t="shared" ca="1" si="397"/>
        <v>215</v>
      </c>
      <c r="I589" s="15">
        <f t="shared" ca="1" si="397"/>
        <v>276</v>
      </c>
      <c r="J589" s="15">
        <f t="shared" ca="1" si="397"/>
        <v>331</v>
      </c>
      <c r="K589" s="15">
        <f t="shared" ca="1" si="397"/>
        <v>384</v>
      </c>
      <c r="L589" s="15">
        <f t="shared" ca="1" si="397"/>
        <v>432</v>
      </c>
      <c r="M589" s="15">
        <f t="shared" ca="1" si="397"/>
        <v>478</v>
      </c>
      <c r="N589" s="15">
        <f t="shared" ca="1" si="397"/>
        <v>520</v>
      </c>
      <c r="O589" s="366">
        <f t="shared" ca="1" si="397"/>
        <v>559</v>
      </c>
      <c r="P589" s="354">
        <f ca="1">IF(O589=0,IF(N589=0,IF(M589=0,IF(L589=0,IF(K589=0,IF(J589=0,IF(I589=0,IF(H589=0,IF(G589=0,IF(F589=0,E589,F589),G589),H589),I589),J589),K589),L589),M589),N589),O589)</f>
        <v>559</v>
      </c>
    </row>
    <row r="590" spans="1:16" ht="15" thickBot="1" x14ac:dyDescent="0.35">
      <c r="C590" s="59" t="s">
        <v>507</v>
      </c>
      <c r="E590" s="324">
        <f ca="1">IF(E585&gt;0,E589-D589+ROUND(D589*'B. Implementation Plan'!P198,0),0)</f>
        <v>0</v>
      </c>
      <c r="F590" s="324">
        <f ca="1">IF(F585&gt;0,F589-E589+ROUND(E589*'B. Implementation Plan'!P198,0),0)</f>
        <v>78</v>
      </c>
      <c r="G590" s="324">
        <f ca="1">IF(G585&gt;0,G589-F589+ROUND(F589*'B. Implementation Plan'!P198,0),0)</f>
        <v>79</v>
      </c>
      <c r="H590" s="324">
        <f ca="1">IF(H585&gt;0,H589-G589+ROUND(G589*'B. Implementation Plan'!P198,0),0)</f>
        <v>81</v>
      </c>
      <c r="I590" s="324">
        <f ca="1">IF(I585&gt;0,I589-H589+ROUND(H589*'B. Implementation Plan'!P198,0),0)</f>
        <v>83</v>
      </c>
      <c r="J590" s="324">
        <f ca="1">IF(J585&gt;0,J589-I589+ROUND(I589*'B. Implementation Plan'!P198,0),0)</f>
        <v>83</v>
      </c>
      <c r="K590" s="324">
        <f ca="1">IF(K585&gt;0,K589-J589+ROUND(J589*'B. Implementation Plan'!P198,0),0)</f>
        <v>86</v>
      </c>
      <c r="L590" s="324">
        <f ca="1">IF(L585&gt;0,L589-K589+ROUND(K589*'B. Implementation Plan'!P198,0),0)</f>
        <v>86</v>
      </c>
      <c r="M590" s="324">
        <f ca="1">IF(M585&gt;0,M589-L589+ROUND(L589*'B. Implementation Plan'!P198,0),0)</f>
        <v>89</v>
      </c>
      <c r="N590" s="324">
        <f ca="1">IF(N585&gt;0,N589-M589+ROUND(M589*'B. Implementation Plan'!P198,0),0)</f>
        <v>90</v>
      </c>
      <c r="O590" s="367">
        <f ca="1">IF(O585&gt;0,O589-N589+ROUND(N589*'B. Implementation Plan'!P198,0),0)</f>
        <v>91</v>
      </c>
      <c r="P590" s="79">
        <f ca="1">IF(O590=0,IF(N590=0,IF(M590=0,IF(L590=0,IF(K590=0,IF(J590=0,IF(I590=0,IF(H590=0,IF(G590=0,IF(F590=0,E590,F590),G590),H590),I590),J590),K590),L590),M590),N590),O590)</f>
        <v>91</v>
      </c>
    </row>
    <row r="591" spans="1:16" ht="15" thickBot="1" x14ac:dyDescent="0.35">
      <c r="C591" s="59" t="s">
        <v>508</v>
      </c>
    </row>
    <row r="592" spans="1:16" ht="15.6" x14ac:dyDescent="0.3">
      <c r="C592" s="326" t="s">
        <v>509</v>
      </c>
      <c r="F592" s="149">
        <v>1</v>
      </c>
      <c r="G592" s="149">
        <v>2</v>
      </c>
      <c r="H592" s="149">
        <v>3</v>
      </c>
      <c r="I592" s="149">
        <v>4</v>
      </c>
      <c r="J592" s="149">
        <v>5</v>
      </c>
      <c r="K592" s="149">
        <v>6</v>
      </c>
      <c r="L592" s="149">
        <v>7</v>
      </c>
      <c r="M592" s="149">
        <v>8</v>
      </c>
      <c r="N592" s="149">
        <v>9</v>
      </c>
      <c r="O592" s="374">
        <v>10</v>
      </c>
      <c r="P592" s="351" t="s">
        <v>2</v>
      </c>
    </row>
    <row r="593" spans="3:16" s="365" customFormat="1" x14ac:dyDescent="0.3">
      <c r="C593" s="370">
        <v>1</v>
      </c>
      <c r="E593"/>
      <c r="F593" s="347">
        <f ca="1">IF($C593&lt;=ROUNDUP('B. Implementation Plan'!P201,0),ROUND(IF(AND($C593-'B. Implementation Plan'!P201&lt;1,$C593-'B. Implementation Plan'!P201&gt;0),MOD('B. Implementation Plan'!P201,1)*F588*1*(1-'B. Implementation Plan'!P198)^($C593-1),F588*1*(1-'B. Implementation Plan'!P198)^($C593-1)),0),0)</f>
        <v>76</v>
      </c>
      <c r="G593" s="347">
        <f>IF($C593&lt;=ROUNDUP('B. Implementation Plan'!P201,0),ROUND(IF(AND($C593-'B. Implementation Plan'!P201&lt;1,$C593-'B. Implementation Plan'!P201&gt;0),MOD('B. Implementation Plan'!P201,1)*G588*1*(1-'B. Implementation Plan'!P198)^($C593-1),G588*1*(1-'B. Implementation Plan'!P198)^($C593-1)),0),0)</f>
        <v>0</v>
      </c>
      <c r="H593" s="347">
        <f>IF($C593&lt;=ROUNDUP('B. Implementation Plan'!P201,0),ROUND(IF(AND($C593-'B. Implementation Plan'!P201&lt;1,$C593-'B. Implementation Plan'!P201&gt;0),MOD('B. Implementation Plan'!P201,1)*H588*1*(1-'B. Implementation Plan'!P198)^($C593-1),H588*1*(1-'B. Implementation Plan'!P198)^($C593-1)),0),0)</f>
        <v>0</v>
      </c>
      <c r="I593" s="347">
        <f>IF($C593&lt;=ROUNDUP('B. Implementation Plan'!P201,0),ROUND(IF(AND($C593-'B. Implementation Plan'!P201&lt;1,$C593-'B. Implementation Plan'!P201&gt;0),MOD('B. Implementation Plan'!P201,1)*I588*1*(1-'B. Implementation Plan'!P198)^($C593-1),I588*1*(1-'B. Implementation Plan'!P198)^($C593-1)),0),0)</f>
        <v>0</v>
      </c>
      <c r="J593" s="347">
        <f>IF($C593&lt;=ROUNDUP('B. Implementation Plan'!P201,0),ROUND(IF(AND($C593-'B. Implementation Plan'!P201&lt;1,$C593-'B. Implementation Plan'!P201&gt;0),MOD('B. Implementation Plan'!P201,1)*J588*1*(1-'B. Implementation Plan'!P198)^($C593-1),J588*1*(1-'B. Implementation Plan'!P198)^($C593-1)),0),0)</f>
        <v>0</v>
      </c>
      <c r="K593" s="347">
        <f>IF($C593&lt;=ROUNDUP('B. Implementation Plan'!P201,0),ROUND(IF(AND($C593-'B. Implementation Plan'!P201&lt;1,$C593-'B. Implementation Plan'!P201&gt;0),MOD('B. Implementation Plan'!P201,1)*K588*1*(1-'B. Implementation Plan'!P198)^($C593-1),K588*1*(1-'B. Implementation Plan'!P198)^($C593-1)),0),0)</f>
        <v>0</v>
      </c>
      <c r="L593" s="347">
        <f>IF($C593&lt;=ROUNDUP('B. Implementation Plan'!P201,0),ROUND(IF(AND($C593-'B. Implementation Plan'!P201&lt;1,$C593-'B. Implementation Plan'!P201&gt;0),MOD('B. Implementation Plan'!P201,1)*L588*1*(1-'B. Implementation Plan'!P198)^($C593-1),L588*1*(1-'B. Implementation Plan'!P198)^($C593-1)),0),0)</f>
        <v>0</v>
      </c>
      <c r="M593" s="347">
        <f>IF($C593&lt;=ROUNDUP('B. Implementation Plan'!P201,0),ROUND(IF(AND($C593-'B. Implementation Plan'!P201&lt;1,$C593-'B. Implementation Plan'!P201&gt;0),MOD('B. Implementation Plan'!P201,1)*M588*1*(1-'B. Implementation Plan'!P198)^($C593-1),M588*1*(1-'B. Implementation Plan'!P198)^($C593-1)),0),0)</f>
        <v>0</v>
      </c>
      <c r="N593" s="347">
        <f>IF($C593&lt;=ROUNDUP('B. Implementation Plan'!P201,0),ROUND(IF(AND($C593-'B. Implementation Plan'!P201&lt;1,$C593-'B. Implementation Plan'!P201&gt;0),MOD('B. Implementation Plan'!P201,1)*N588*1*(1-'B. Implementation Plan'!P198)^($C593-1),N588*1*(1-'B. Implementation Plan'!P198)^($C593-1)),0),0)</f>
        <v>0</v>
      </c>
      <c r="O593" s="347">
        <f>IF($C593&lt;=ROUNDUP('B. Implementation Plan'!P201,0),ROUND(IF(AND($C593-'B. Implementation Plan'!P201&lt;1,$C593-'B. Implementation Plan'!P201&gt;0),MOD('B. Implementation Plan'!P201,1)*O588*1*(1-'B. Implementation Plan'!P198)^($C593-1),O588*1*(1-'B. Implementation Plan'!P198)^($C593-1)),0),0)</f>
        <v>0</v>
      </c>
      <c r="P593" s="78">
        <f ca="1">IF(SUM(F593:O593)&gt;0,SUM(F593:O593),"")</f>
        <v>76</v>
      </c>
    </row>
    <row r="594" spans="3:16" s="365" customFormat="1" x14ac:dyDescent="0.3">
      <c r="C594" s="370">
        <v>2</v>
      </c>
      <c r="E594"/>
      <c r="F594"/>
      <c r="G594" s="347">
        <f ca="1">IF($C594&lt;=ROUNDUP('B. Implementation Plan'!P201,0),ROUND(IF(AND($C594-'B. Implementation Plan'!P201&lt;1,$C594-'B. Implementation Plan'!P201&gt;0),MOD('B. Implementation Plan'!P201,1)*F588*1*(1-'B. Implementation Plan'!P198)^($C594-1),F588*1*(1-'B. Implementation Plan'!P198)^($C594-1)),0),0)</f>
        <v>34</v>
      </c>
      <c r="H594" s="347">
        <f>IF($C594&lt;=ROUNDUP('B. Implementation Plan'!P201,0),ROUND(IF(AND($C594-'B. Implementation Plan'!P201&lt;1,$C594-'B. Implementation Plan'!P201&gt;0),MOD('B. Implementation Plan'!P201,1)*G588*1*(1-'B. Implementation Plan'!P198)^($C594-1),G588*1*(1-'B. Implementation Plan'!P198)^($C594-1)),0),0)</f>
        <v>0</v>
      </c>
      <c r="I594" s="347">
        <f>IF($C594&lt;=ROUNDUP('B. Implementation Plan'!P201,0),ROUND(IF(AND($C594-'B. Implementation Plan'!P201&lt;1,$C594-'B. Implementation Plan'!P201&gt;0),MOD('B. Implementation Plan'!P201,1)*H588*1*(1-'B. Implementation Plan'!P198)^($C594-1),H588*1*(1-'B. Implementation Plan'!P198)^($C594-1)),0),0)</f>
        <v>0</v>
      </c>
      <c r="J594" s="347">
        <f>IF($C594&lt;=ROUNDUP('B. Implementation Plan'!P201,0),ROUND(IF(AND($C594-'B. Implementation Plan'!P201&lt;1,$C594-'B. Implementation Plan'!P201&gt;0),MOD('B. Implementation Plan'!P201,1)*I588*1*(1-'B. Implementation Plan'!P198)^($C594-1),I588*1*(1-'B. Implementation Plan'!P198)^($C594-1)),0),0)</f>
        <v>0</v>
      </c>
      <c r="K594" s="347">
        <f>IF($C594&lt;=ROUNDUP('B. Implementation Plan'!P201,0),ROUND(IF(AND($C594-'B. Implementation Plan'!P201&lt;1,$C594-'B. Implementation Plan'!P201&gt;0),MOD('B. Implementation Plan'!P201,1)*J588*1*(1-'B. Implementation Plan'!P198)^($C594-1),J588*1*(1-'B. Implementation Plan'!P198)^($C594-1)),0),0)</f>
        <v>0</v>
      </c>
      <c r="L594" s="347">
        <f>IF($C594&lt;=ROUNDUP('B. Implementation Plan'!P201,0),ROUND(IF(AND($C594-'B. Implementation Plan'!P201&lt;1,$C594-'B. Implementation Plan'!P201&gt;0),MOD('B. Implementation Plan'!P201,1)*K588*1*(1-'B. Implementation Plan'!P198)^($C594-1),K588*1*(1-'B. Implementation Plan'!P198)^($C594-1)),0),0)</f>
        <v>0</v>
      </c>
      <c r="M594" s="347">
        <f>IF($C594&lt;=ROUNDUP('B. Implementation Plan'!P201,0),ROUND(IF(AND($C594-'B. Implementation Plan'!P201&lt;1,$C594-'B. Implementation Plan'!P201&gt;0),MOD('B. Implementation Plan'!P201,1)*L588*1*(1-'B. Implementation Plan'!P198)^($C594-1),L588*1*(1-'B. Implementation Plan'!P198)^($C594-1)),0),0)</f>
        <v>0</v>
      </c>
      <c r="N594" s="347">
        <f>IF($C594&lt;=ROUNDUP('B. Implementation Plan'!P201,0),ROUND(IF(AND($C594-'B. Implementation Plan'!P201&lt;1,$C594-'B. Implementation Plan'!P201&gt;0),MOD('B. Implementation Plan'!P201,1)*M588*1*(1-'B. Implementation Plan'!P198)^($C594-1),M588*1*(1-'B. Implementation Plan'!P198)^($C594-1)),0),0)</f>
        <v>0</v>
      </c>
      <c r="O594" s="347">
        <f>IF($C594&lt;=ROUNDUP('B. Implementation Plan'!P201,0),ROUND(IF(AND($C594-'B. Implementation Plan'!P201&lt;1,$C594-'B. Implementation Plan'!P201&gt;0),MOD('B. Implementation Plan'!P201,1)*N588*1*(1-'B. Implementation Plan'!P198)^($C594-1),N588*1*(1-'B. Implementation Plan'!P198)^($C594-1)),0),0)</f>
        <v>0</v>
      </c>
      <c r="P594" s="78">
        <f t="shared" ref="P594:P602" ca="1" si="398">IF(SUM(F594:O594)&gt;0,SUM(F594:O594),"")</f>
        <v>34</v>
      </c>
    </row>
    <row r="595" spans="3:16" s="365" customFormat="1" x14ac:dyDescent="0.3">
      <c r="C595" s="370">
        <v>3</v>
      </c>
      <c r="E595"/>
      <c r="F595"/>
      <c r="G595"/>
      <c r="H595" s="347">
        <f>IF($C595&lt;=ROUNDUP('B. Implementation Plan'!P201,0),ROUND(IF(AND($C595-'B. Implementation Plan'!P201&lt;1,$C595-'B. Implementation Plan'!P201&gt;0),MOD('B. Implementation Plan'!P201,1)*F588*1*(1-'B. Implementation Plan'!P198)^($C595-1),F588*1*(1-'B. Implementation Plan'!P198)^($C595-1)),0),0)</f>
        <v>0</v>
      </c>
      <c r="I595" s="347">
        <f>IF($C595&lt;=ROUNDUP('B. Implementation Plan'!P201,0),ROUND(IF(AND($C595-'B. Implementation Plan'!P201&lt;1,$C595-'B. Implementation Plan'!P201&gt;0),MOD('B. Implementation Plan'!P201,1)*G588*1*(1-'B. Implementation Plan'!P198)^($C595-1),G588*1*(1-'B. Implementation Plan'!P198)^($C595-1)),0),0)</f>
        <v>0</v>
      </c>
      <c r="J595" s="347">
        <f>IF($C595&lt;=ROUNDUP('B. Implementation Plan'!P201,0),ROUND(IF(AND($C595-'B. Implementation Plan'!P201&lt;1,$C595-'B. Implementation Plan'!P201&gt;0),MOD('B. Implementation Plan'!P201,1)*H588*1*(1-'B. Implementation Plan'!P198)^($C595-1),H588*1*(1-'B. Implementation Plan'!P198)^($C595-1)),0),0)</f>
        <v>0</v>
      </c>
      <c r="K595" s="347">
        <f>IF($C595&lt;=ROUNDUP('B. Implementation Plan'!P201,0),ROUND(IF(AND($C595-'B. Implementation Plan'!P201&lt;1,$C595-'B. Implementation Plan'!P201&gt;0),MOD('B. Implementation Plan'!P201,1)*I588*1*(1-'B. Implementation Plan'!P198)^($C595-1),I588*1*(1-'B. Implementation Plan'!P198)^($C595-1)),0),0)</f>
        <v>0</v>
      </c>
      <c r="L595" s="347">
        <f>IF($C595&lt;=ROUNDUP('B. Implementation Plan'!P201,0),ROUND(IF(AND($C595-'B. Implementation Plan'!P201&lt;1,$C595-'B. Implementation Plan'!P201&gt;0),MOD('B. Implementation Plan'!P201,1)*J588*1*(1-'B. Implementation Plan'!P198)^($C595-1),J588*1*(1-'B. Implementation Plan'!P198)^($C595-1)),0),0)</f>
        <v>0</v>
      </c>
      <c r="M595" s="347">
        <f>IF($C595&lt;=ROUNDUP('B. Implementation Plan'!P201,0),ROUND(IF(AND($C595-'B. Implementation Plan'!P201&lt;1,$C595-'B. Implementation Plan'!P201&gt;0),MOD('B. Implementation Plan'!P201,1)*K588*1*(1-'B. Implementation Plan'!P198)^($C595-1),K588*1*(1-'B. Implementation Plan'!P198)^($C595-1)),0),0)</f>
        <v>0</v>
      </c>
      <c r="N595" s="347">
        <f>IF($C595&lt;=ROUNDUP('B. Implementation Plan'!P201,0),ROUND(IF(AND($C595-'B. Implementation Plan'!P201&lt;1,$C595-'B. Implementation Plan'!P201&gt;0),MOD('B. Implementation Plan'!P201,1)*L588*1*(1-'B. Implementation Plan'!P198)^($C595-1),L588*1*(1-'B. Implementation Plan'!P198)^($C595-1)),0),0)</f>
        <v>0</v>
      </c>
      <c r="O595" s="347">
        <f>IF($C595&lt;=ROUNDUP('B. Implementation Plan'!P201,0),ROUND(IF(AND($C595-'B. Implementation Plan'!P201&lt;1,$C595-'B. Implementation Plan'!P201&gt;0),MOD('B. Implementation Plan'!P201,1)*M588*1*(1-'B. Implementation Plan'!P198)^($C595-1),M588*1*(1-'B. Implementation Plan'!P198)^($C595-1)),0),0)</f>
        <v>0</v>
      </c>
      <c r="P595" s="78" t="str">
        <f t="shared" si="398"/>
        <v/>
      </c>
    </row>
    <row r="596" spans="3:16" s="365" customFormat="1" x14ac:dyDescent="0.3">
      <c r="C596" s="370">
        <v>4</v>
      </c>
      <c r="E596"/>
      <c r="F596"/>
      <c r="G596"/>
      <c r="H596"/>
      <c r="I596" s="347">
        <f>IF($C596&lt;=ROUNDUP('B. Implementation Plan'!P201,0),ROUND(IF(AND($C596-'B. Implementation Plan'!P201&lt;1,$C596-'B. Implementation Plan'!P201&gt;0),MOD('B. Implementation Plan'!P201,1)*F588*1*(1-'B. Implementation Plan'!P198)^($C596-1),F588*1*(1-'B. Implementation Plan'!P198)^($C596-1)),0),0)</f>
        <v>0</v>
      </c>
      <c r="J596" s="347">
        <f>IF($C596&lt;=ROUNDUP('B. Implementation Plan'!P201,0),ROUND(IF(AND($C596-'B. Implementation Plan'!P201&lt;1,$C596-'B. Implementation Plan'!P201&gt;0),MOD('B. Implementation Plan'!P201,1)*G588*1*(1-'B. Implementation Plan'!P198)^($C596-1),G588*1*(1-'B. Implementation Plan'!P198)^($C596-1)),0),0)</f>
        <v>0</v>
      </c>
      <c r="K596" s="347">
        <f>IF($C596&lt;=ROUNDUP('B. Implementation Plan'!P201,0),ROUND(IF(AND($C596-'B. Implementation Plan'!P201&lt;1,$C596-'B. Implementation Plan'!P201&gt;0),MOD('B. Implementation Plan'!P201,1)*H588*1*(1-'B. Implementation Plan'!P198)^($C596-1),H588*1*(1-'B. Implementation Plan'!P198)^($C596-1)),0),0)</f>
        <v>0</v>
      </c>
      <c r="L596" s="347">
        <f>IF($C596&lt;=ROUNDUP('B. Implementation Plan'!P201,0),ROUND(IF(AND($C596-'B. Implementation Plan'!P201&lt;1,$C596-'B. Implementation Plan'!P201&gt;0),MOD('B. Implementation Plan'!P201,1)*I588*1*(1-'B. Implementation Plan'!P198)^($C596-1),I588*1*(1-'B. Implementation Plan'!P198)^($C596-1)),0),0)</f>
        <v>0</v>
      </c>
      <c r="M596" s="347">
        <f>IF($C596&lt;=ROUNDUP('B. Implementation Plan'!P201,0),ROUND(IF(AND($C596-'B. Implementation Plan'!P201&lt;1,$C596-'B. Implementation Plan'!P201&gt;0),MOD('B. Implementation Plan'!P201,1)*J588*1*(1-'B. Implementation Plan'!P198)^($C596-1),J588*1*(1-'B. Implementation Plan'!P198)^($C596-1)),0),0)</f>
        <v>0</v>
      </c>
      <c r="N596" s="347">
        <f>IF($C596&lt;=ROUNDUP('B. Implementation Plan'!P201,0),ROUND(IF(AND($C596-'B. Implementation Plan'!P201&lt;1,$C596-'B. Implementation Plan'!P201&gt;0),MOD('B. Implementation Plan'!P201,1)*K588*1*(1-'B. Implementation Plan'!P198)^($C596-1),K588*1*(1-'B. Implementation Plan'!P198)^($C596-1)),0),0)</f>
        <v>0</v>
      </c>
      <c r="O596" s="347">
        <f>IF($C596&lt;=ROUNDUP('B. Implementation Plan'!P201,0),ROUND(IF(AND($C596-'B. Implementation Plan'!P201&lt;1,$C596-'B. Implementation Plan'!P201&gt;0),MOD('B. Implementation Plan'!P201,1)*L588*1*(1-'B. Implementation Plan'!P198)^($C596-1),L588*1*(1-'B. Implementation Plan'!P198)^($C596-1)),0),0)</f>
        <v>0</v>
      </c>
      <c r="P596" s="78" t="str">
        <f t="shared" si="398"/>
        <v/>
      </c>
    </row>
    <row r="597" spans="3:16" s="365" customFormat="1" x14ac:dyDescent="0.3">
      <c r="C597" s="370">
        <v>5</v>
      </c>
      <c r="E597"/>
      <c r="F597"/>
      <c r="G597"/>
      <c r="H597"/>
      <c r="I597"/>
      <c r="J597" s="347">
        <f>IF($C597&lt;=ROUNDUP('B. Implementation Plan'!P201,0),ROUND(IF(AND($C597-'B. Implementation Plan'!P201&lt;1,$C597-'B. Implementation Plan'!P201&gt;0),MOD('B. Implementation Plan'!P201,1)*F588*1*(1-'B. Implementation Plan'!P198)^($C597-1),F588*1*(1-'B. Implementation Plan'!P198)^($C597-1)),0),0)</f>
        <v>0</v>
      </c>
      <c r="K597" s="347">
        <f>IF($C597&lt;=ROUNDUP('B. Implementation Plan'!P201,0),ROUND(IF(AND($C597-'B. Implementation Plan'!P201&lt;1,$C597-'B. Implementation Plan'!P201&gt;0),MOD('B. Implementation Plan'!P201,1)*G588*1*(1-'B. Implementation Plan'!P198)^($C597-1),G588*1*(1-'B. Implementation Plan'!P198)^($C597-1)),0),0)</f>
        <v>0</v>
      </c>
      <c r="L597" s="347">
        <f>IF($C597&lt;=ROUNDUP('B. Implementation Plan'!P201,0),ROUND(IF(AND($C597-'B. Implementation Plan'!P201&lt;1,$C597-'B. Implementation Plan'!P201&gt;0),MOD('B. Implementation Plan'!P201,1)*H588*1*(1-'B. Implementation Plan'!P198)^($C597-1),H588*1*(1-'B. Implementation Plan'!P198)^($C597-1)),0),0)</f>
        <v>0</v>
      </c>
      <c r="M597" s="347">
        <f>IF($C597&lt;=ROUNDUP('B. Implementation Plan'!P201,0),ROUND(IF(AND($C597-'B. Implementation Plan'!P201&lt;1,$C597-'B. Implementation Plan'!P201&gt;0),MOD('B. Implementation Plan'!P201,1)*I588*1*(1-'B. Implementation Plan'!P198)^($C597-1),I588*1*(1-'B. Implementation Plan'!P198)^($C597-1)),0),0)</f>
        <v>0</v>
      </c>
      <c r="N597" s="347">
        <f>IF($C597&lt;=ROUNDUP('B. Implementation Plan'!P201,0),ROUND(IF(AND($C597-'B. Implementation Plan'!P201&lt;1,$C597-'B. Implementation Plan'!P201&gt;0),MOD('B. Implementation Plan'!P201,1)*J588*1*(1-'B. Implementation Plan'!P198)^($C597-1),J588*1*(1-'B. Implementation Plan'!P198)^($C597-1)),0),0)</f>
        <v>0</v>
      </c>
      <c r="O597" s="347">
        <f>IF($C597&lt;=ROUNDUP('B. Implementation Plan'!P201,0),ROUND(IF(AND($C597-'B. Implementation Plan'!P201&lt;1,$C597-'B. Implementation Plan'!P201&gt;0),MOD('B. Implementation Plan'!P201,1)*K588*1*(1-'B. Implementation Plan'!P198)^($C597-1),K588*1*(1-'B. Implementation Plan'!P198)^($C597-1)),0),0)</f>
        <v>0</v>
      </c>
      <c r="P597" s="78" t="str">
        <f t="shared" si="398"/>
        <v/>
      </c>
    </row>
    <row r="598" spans="3:16" s="365" customFormat="1" x14ac:dyDescent="0.3">
      <c r="C598" s="370">
        <v>6</v>
      </c>
      <c r="E598"/>
      <c r="F598"/>
      <c r="G598"/>
      <c r="H598"/>
      <c r="I598"/>
      <c r="J598"/>
      <c r="K598" s="347">
        <f>IF($C598&lt;=ROUNDUP('B. Implementation Plan'!P201,0),ROUND(IF(AND($C598-'B. Implementation Plan'!P201&lt;1,$C598-'B. Implementation Plan'!P201&gt;0),MOD('B. Implementation Plan'!P201,1)*F588*1*(1-'B. Implementation Plan'!P198)^($C598-1),F588*1*(1-'B. Implementation Plan'!P198)^($C598-1)),0),0)</f>
        <v>0</v>
      </c>
      <c r="L598" s="347">
        <f>IF($C598&lt;=ROUNDUP('B. Implementation Plan'!P201,0),ROUND(IF(AND($C598-'B. Implementation Plan'!P201&lt;1,$C598-'B. Implementation Plan'!P201&gt;0),MOD('B. Implementation Plan'!P201,1)*G588*1*(1-'B. Implementation Plan'!P198)^($C598-1),G588*1*(1-'B. Implementation Plan'!P198)^($C598-1)),0),0)</f>
        <v>0</v>
      </c>
      <c r="M598" s="347">
        <f>IF($C598&lt;=ROUNDUP('B. Implementation Plan'!P201,0),ROUND(IF(AND($C598-'B. Implementation Plan'!P201&lt;1,$C598-'B. Implementation Plan'!P201&gt;0),MOD('B. Implementation Plan'!P201,1)*H588*1*(1-'B. Implementation Plan'!P198)^($C598-1),H588*1*(1-'B. Implementation Plan'!P198)^($C598-1)),0),0)</f>
        <v>0</v>
      </c>
      <c r="N598" s="347">
        <f>IF($C598&lt;=ROUNDUP('B. Implementation Plan'!P201,0),ROUND(IF(AND($C598-'B. Implementation Plan'!P201&lt;1,$C598-'B. Implementation Plan'!P201&gt;0),MOD('B. Implementation Plan'!P201,1)*I588*1*(1-'B. Implementation Plan'!P198)^($C598-1),I588*1*(1-'B. Implementation Plan'!P198)^($C598-1)),0),0)</f>
        <v>0</v>
      </c>
      <c r="O598" s="347">
        <f>IF($C598&lt;=ROUNDUP('B. Implementation Plan'!P201,0),ROUND(IF(AND($C598-'B. Implementation Plan'!P201&lt;1,$C598-'B. Implementation Plan'!P201&gt;0),MOD('B. Implementation Plan'!P201,1)*J588*1*(1-'B. Implementation Plan'!P198)^($C598-1),J588*1*(1-'B. Implementation Plan'!P198)^($C598-1)),0),0)</f>
        <v>0</v>
      </c>
      <c r="P598" s="78" t="str">
        <f t="shared" si="398"/>
        <v/>
      </c>
    </row>
    <row r="599" spans="3:16" s="365" customFormat="1" x14ac:dyDescent="0.3">
      <c r="C599" s="370">
        <v>7</v>
      </c>
      <c r="E599"/>
      <c r="F599"/>
      <c r="G599"/>
      <c r="H599"/>
      <c r="I599"/>
      <c r="J599"/>
      <c r="K599"/>
      <c r="L599" s="347">
        <f>IF($C599&lt;=ROUNDUP('B. Implementation Plan'!P201,0),ROUND(IF(AND($C599-'B. Implementation Plan'!P201&lt;1,$C599-'B. Implementation Plan'!P201&gt;0),MOD('B. Implementation Plan'!P201,1)*F588*1*(1-'B. Implementation Plan'!P198)^($C599-1),F588*1*(1-'B. Implementation Plan'!P198)^($C599-1)),0),0)</f>
        <v>0</v>
      </c>
      <c r="M599" s="347">
        <f>IF($C599&lt;=ROUNDUP('B. Implementation Plan'!P201,0),ROUND(IF(AND($C599-'B. Implementation Plan'!P201&lt;1,$C599-'B. Implementation Plan'!P201&gt;0),MOD('B. Implementation Plan'!P201,1)*G588*1*(1-'B. Implementation Plan'!P198)^($C599-1),G588*1*(1-'B. Implementation Plan'!P198)^($C599-1)),0),0)</f>
        <v>0</v>
      </c>
      <c r="N599" s="347">
        <f>IF($C599&lt;=ROUNDUP('B. Implementation Plan'!P201,0),ROUND(IF(AND($C599-'B. Implementation Plan'!P201&lt;1,$C599-'B. Implementation Plan'!P201&gt;0),MOD('B. Implementation Plan'!P201,1)*H588*1*(1-'B. Implementation Plan'!P198)^($C599-1),H588*1*(1-'B. Implementation Plan'!P198)^($C599-1)),0),0)</f>
        <v>0</v>
      </c>
      <c r="O599" s="347">
        <f>IF($C599&lt;=ROUNDUP('B. Implementation Plan'!P201,0),ROUND(IF(AND($C599-'B. Implementation Plan'!P201&lt;1,$C599-'B. Implementation Plan'!P201&gt;0),MOD('B. Implementation Plan'!P201,1)*I588*1*(1-'B. Implementation Plan'!P198)^($C599-1),I588*1*(1-'B. Implementation Plan'!P198)^($C599-1)),0),0)</f>
        <v>0</v>
      </c>
      <c r="P599" s="78" t="str">
        <f t="shared" si="398"/>
        <v/>
      </c>
    </row>
    <row r="600" spans="3:16" s="365" customFormat="1" x14ac:dyDescent="0.3">
      <c r="C600" s="370">
        <v>8</v>
      </c>
      <c r="E600"/>
      <c r="F600"/>
      <c r="G600"/>
      <c r="H600"/>
      <c r="I600"/>
      <c r="J600"/>
      <c r="K600"/>
      <c r="L600"/>
      <c r="M600" s="347">
        <f>IF($C600&lt;=ROUNDUP('B. Implementation Plan'!P201,0),ROUND(IF(AND($C600-'B. Implementation Plan'!P201&lt;1,$C600-'B. Implementation Plan'!P201&gt;0),MOD('B. Implementation Plan'!P201,1)*F588*1*(1-'B. Implementation Plan'!P198)^($C600-1),F588*1*(1-'B. Implementation Plan'!P198)^($C600-1)),0),0)</f>
        <v>0</v>
      </c>
      <c r="N600" s="347">
        <f>IF($C600&lt;=ROUNDUP('B. Implementation Plan'!P201,0),ROUND(IF(AND($C600-'B. Implementation Plan'!P201&lt;1,$C600-'B. Implementation Plan'!P201&gt;0),MOD('B. Implementation Plan'!P201,1)*G588*1*(1-'B. Implementation Plan'!P198)^($C600-1),G588*1*(1-'B. Implementation Plan'!P198)^($C600-1)),0),0)</f>
        <v>0</v>
      </c>
      <c r="O600" s="347">
        <f>IF($C600&lt;=ROUNDUP('B. Implementation Plan'!P201,0),ROUND(IF(AND($C600-'B. Implementation Plan'!P201&lt;1,$C600-'B. Implementation Plan'!P201&gt;0),MOD('B. Implementation Plan'!P201,1)*H588*1*(1-'B. Implementation Plan'!P198)^($C600-1),H588*1*(1-'B. Implementation Plan'!P198)^($C600-1)),0),0)</f>
        <v>0</v>
      </c>
      <c r="P600" s="78" t="str">
        <f t="shared" si="398"/>
        <v/>
      </c>
    </row>
    <row r="601" spans="3:16" s="365" customFormat="1" x14ac:dyDescent="0.3">
      <c r="C601" s="370">
        <v>9</v>
      </c>
      <c r="E601"/>
      <c r="F601"/>
      <c r="G601"/>
      <c r="H601"/>
      <c r="I601"/>
      <c r="J601"/>
      <c r="K601"/>
      <c r="L601"/>
      <c r="M601"/>
      <c r="N601" s="347">
        <f>IF($C601&lt;=ROUNDUP('B. Implementation Plan'!P201,0),ROUND(IF(AND($C601-'B. Implementation Plan'!P201&lt;1,$C601-'B. Implementation Plan'!P201&gt;0),MOD('B. Implementation Plan'!P201,1)*F588*1*(1-'B. Implementation Plan'!P198)^($C601-1),F588*1*(1-'B. Implementation Plan'!P198)^($C601-1)),0),0)</f>
        <v>0</v>
      </c>
      <c r="O601" s="347">
        <f>IF($C601&lt;=ROUNDUP('B. Implementation Plan'!P201,0),ROUND(IF(AND($C601-'B. Implementation Plan'!P201&lt;1,$C601-'B. Implementation Plan'!P201&gt;0),MOD('B. Implementation Plan'!P201,1)*G588*1*(1-'B. Implementation Plan'!P198)^($C601-1),G588*1*(1-'B. Implementation Plan'!P198)^($C601-1)),0),0)</f>
        <v>0</v>
      </c>
      <c r="P601" s="78" t="str">
        <f t="shared" si="398"/>
        <v/>
      </c>
    </row>
    <row r="602" spans="3:16" s="365" customFormat="1" x14ac:dyDescent="0.3">
      <c r="C602" s="370">
        <v>10</v>
      </c>
      <c r="E602"/>
      <c r="F602"/>
      <c r="G602"/>
      <c r="H602"/>
      <c r="I602"/>
      <c r="J602"/>
      <c r="K602"/>
      <c r="L602"/>
      <c r="M602"/>
      <c r="N602" s="19"/>
      <c r="O602" s="347">
        <f>IF($C602&lt;=ROUNDUP('B. Implementation Plan'!P201,0),ROUND(IF(AND($C602-'B. Implementation Plan'!P201&lt;1,$C602-'B. Implementation Plan'!P201&gt;0),MOD('B. Implementation Plan'!P201,1)*F588*1*(1-'B. Implementation Plan'!P198)^($C602-1),F588*1*(1-'B. Implementation Plan'!P198)^($C602-1)),0),0)</f>
        <v>0</v>
      </c>
      <c r="P602" s="78" t="str">
        <f t="shared" si="398"/>
        <v/>
      </c>
    </row>
    <row r="603" spans="3:16" s="1" customFormat="1" x14ac:dyDescent="0.3">
      <c r="C603" s="376" t="s">
        <v>510</v>
      </c>
      <c r="E603"/>
      <c r="F603" s="371">
        <f t="shared" ref="F603:O603" ca="1" si="399">IF(F585&gt;0,SUM(F593:F602),0)</f>
        <v>76</v>
      </c>
      <c r="G603" s="371">
        <f t="shared" ca="1" si="399"/>
        <v>34</v>
      </c>
      <c r="H603" s="371">
        <f t="shared" ca="1" si="399"/>
        <v>0</v>
      </c>
      <c r="I603" s="371">
        <f t="shared" ca="1" si="399"/>
        <v>0</v>
      </c>
      <c r="J603" s="371">
        <f t="shared" ca="1" si="399"/>
        <v>0</v>
      </c>
      <c r="K603" s="371">
        <f t="shared" ca="1" si="399"/>
        <v>0</v>
      </c>
      <c r="L603" s="371">
        <f t="shared" ca="1" si="399"/>
        <v>0</v>
      </c>
      <c r="M603" s="371">
        <f t="shared" ca="1" si="399"/>
        <v>0</v>
      </c>
      <c r="N603" s="371">
        <f t="shared" ca="1" si="399"/>
        <v>0</v>
      </c>
      <c r="O603" s="371">
        <f t="shared" ca="1" si="399"/>
        <v>0</v>
      </c>
      <c r="P603" s="325">
        <f ca="1">SUM(E603:O603)</f>
        <v>110</v>
      </c>
    </row>
    <row r="604" spans="3:16" s="1" customFormat="1" x14ac:dyDescent="0.3">
      <c r="C604" s="353" t="s">
        <v>511</v>
      </c>
      <c r="E604"/>
      <c r="F604" s="324">
        <f ca="1">MIN(IFERROR(ROUNDUP(IF(F585&gt;0,INDEX(F593:F602,MATCH(9.99999999999999E+307,P593:P602))/IF(MOD('B. Implementation Plan'!P201,1)=0,1,MOD('B. Implementation Plan'!P201,1)),0),0),0),MAX(E593:E602))</f>
        <v>0</v>
      </c>
      <c r="G604" s="324">
        <f ca="1">MIN(IFERROR(ROUNDUP(IF(G585&gt;0,INDEX(G593:G602,MATCH(9.99999999999999E+307,P593:P602))/IF(MOD('B. Implementation Plan'!P201,1)=0,1,MOD('B. Implementation Plan'!P201,1)),0),0),0),MAX(E593:F602))</f>
        <v>68</v>
      </c>
      <c r="H604" s="324">
        <f ca="1">MIN(IFERROR(ROUNDUP(IF(H585&gt;0,INDEX(H593:H602,MATCH(9.99999999999999E+307,P593:P602))/IF(MOD('B. Implementation Plan'!P201,1)=0,1,MOD('B. Implementation Plan'!P201,1)),0),0),0),MAX(E593:G602))</f>
        <v>0</v>
      </c>
      <c r="I604" s="324">
        <f ca="1">MIN(IFERROR(ROUNDUP(IF(I585&gt;0,INDEX(I593:I602,MATCH(9.99999999999999E+307,P593:P602))/IF(MOD('B. Implementation Plan'!P201,1)=0,1,MOD('B. Implementation Plan'!P201,1)),0),0),0),MAX(E593:H602))</f>
        <v>0</v>
      </c>
      <c r="J604" s="324">
        <f ca="1">MIN(IFERROR(ROUNDUP(IF(J585&gt;0,INDEX(J593:J602,MATCH(9.99999999999999E+307,P593:P602))/IF(MOD('B. Implementation Plan'!P201,1)=0,1,MOD('B. Implementation Plan'!P201,1)),0),0),0),MAX(E593:I602))</f>
        <v>0</v>
      </c>
      <c r="K604" s="324">
        <f ca="1">MIN(IFERROR(ROUNDUP(IF(K585&gt;0,INDEX(K593:K602,MATCH(9.99999999999999E+307,P593:P602))/IF(MOD('B. Implementation Plan'!P201,1)=0,1,MOD('B. Implementation Plan'!P201,1)),0),0),0),MAX(E593:J602))</f>
        <v>0</v>
      </c>
      <c r="L604" s="324">
        <f ca="1">MIN(IFERROR(ROUNDUP(IF(L585&gt;0,INDEX(L593:L602,MATCH(9.99999999999999E+307,P593:P602))/IF(MOD('B. Implementation Plan'!P201,1)=0,1,MOD('B. Implementation Plan'!P201,1)),0),0),0),MAX(E593:K602))</f>
        <v>0</v>
      </c>
      <c r="M604" s="324">
        <f ca="1">MIN(IFERROR(ROUNDUP(IF(M585&gt;0,INDEX(M593:M602,MATCH(9.99999999999999E+307,P593:P602))/IF(MOD('B. Implementation Plan'!P201,1)=0,1,MOD('B. Implementation Plan'!P201,1)),0),0),0),MAX(E593:L602))</f>
        <v>0</v>
      </c>
      <c r="N604" s="324">
        <f ca="1">MIN(IFERROR(ROUNDUP(IF(N585&gt;0,INDEX(N593:N602,MATCH(9.99999999999999E+307,P593:P602))/IF(MOD('B. Implementation Plan'!P201,1)=0,1,MOD('B. Implementation Plan'!P201,1)),0),0),0),MAX(E593:M602))</f>
        <v>0</v>
      </c>
      <c r="O604" s="324">
        <f ca="1">MIN(IFERROR(ROUNDUP(IF(O585&gt;0,INDEX(O593:O602,MATCH(9.99999999999999E+307,P593:P602))/IF(MOD('B. Implementation Plan'!P201,1)=0,1,MOD('B. Implementation Plan'!P201,1)),0),0),0),MAX(E593:N602))</f>
        <v>0</v>
      </c>
      <c r="P604" s="325">
        <f ca="1">SUM(E604:O604)</f>
        <v>68</v>
      </c>
    </row>
    <row r="605" spans="3:16" s="365" customFormat="1" x14ac:dyDescent="0.3">
      <c r="C605" s="326" t="s">
        <v>512</v>
      </c>
      <c r="E605"/>
      <c r="F605" s="347">
        <f ca="1">ROUNDUP(IF(F585&gt;0,IF(SUM(E604:F604,E605:E605)*'B. Implementation Plan'!P198&gt;P604,0,-ROUND(SUM(E604:F604,E605:E605)*'B. Implementation Plan'!P198,0)),0),0)</f>
        <v>0</v>
      </c>
      <c r="G605" s="347">
        <f ca="1">ROUNDUP(IF(G585&gt;0,IF(SUM(E604:G604,E605:F605)*'B. Implementation Plan'!P198&gt;P604,0,-ROUND(SUM(E604:G604,E605:F605)*'B. Implementation Plan'!P198,0)),0),0)</f>
        <v>-7</v>
      </c>
      <c r="H605" s="347">
        <f ca="1">ROUNDUP(IF(H585&gt;0,IF(SUM(E604:H604,E605:G605)*'B. Implementation Plan'!P198&gt;P604,0,-ROUND(SUM(E604:H604,E605:G605)*'B. Implementation Plan'!P198,0)),0),0)</f>
        <v>-6</v>
      </c>
      <c r="I605" s="347">
        <f ca="1">ROUNDUP(IF(I585&gt;0,IF(SUM(E604:I604,E605:H605)*'B. Implementation Plan'!P198&gt;P604,0,-ROUND(SUM(E604:I604,E605:H605)*'B. Implementation Plan'!P198,0)),0),0)</f>
        <v>-6</v>
      </c>
      <c r="J605" s="347">
        <f ca="1">ROUNDUP(IF(J585&gt;0,IF(SUM(E604:J604,E605:I605)*'B. Implementation Plan'!P198&gt;P604,0,-ROUND(SUM(E604:J604,E605:I605)*'B. Implementation Plan'!P198,0)),0),0)</f>
        <v>-5</v>
      </c>
      <c r="K605" s="347">
        <f ca="1">ROUNDUP(IF(K585&gt;0,IF(SUM(E604:K604,E605:J605)*'B. Implementation Plan'!P198&gt;P604,0,-ROUND(SUM(E604:K604,E605:J605)*'B. Implementation Plan'!P198,0)),0),0)</f>
        <v>-4</v>
      </c>
      <c r="L605" s="347">
        <f ca="1">ROUNDUP(IF(L585&gt;0,IF(SUM(E604:L604,E605:K605)*'B. Implementation Plan'!P198&gt;P604,0,-ROUND(SUM(E604:L604,E605:K605)*'B. Implementation Plan'!P198,0)),0),0)</f>
        <v>-4</v>
      </c>
      <c r="M605" s="347">
        <f ca="1">ROUNDUP(IF(M585&gt;0,IF(SUM(E604:M604,E605:L605)*'B. Implementation Plan'!P198&gt;P604,0,-ROUND(SUM(E604:M604,E605:L605)*'B. Implementation Plan'!P198,0)),0),0)</f>
        <v>-4</v>
      </c>
      <c r="N605" s="347">
        <f ca="1">ROUNDUP(IF(N585&gt;0,IF(SUM(E604:N604,E605:M605)*'B. Implementation Plan'!P198&gt;P604,0,-ROUND(SUM(E604:N604,E605:M605)*'B. Implementation Plan'!P198,0)),0),0)</f>
        <v>-3</v>
      </c>
      <c r="O605" s="347">
        <f ca="1">ROUNDUP(IF(O585&gt;0,IF(SUM(E604:O604,E605:N605)*'B. Implementation Plan'!P198&gt;P604,0,-ROUND(SUM(E604:O604,E605:N605)*'B. Implementation Plan'!P198,0)),0),0)</f>
        <v>-3</v>
      </c>
      <c r="P605" s="354">
        <f ca="1">SUM(E605:O605)</f>
        <v>-42</v>
      </c>
    </row>
    <row r="606" spans="3:16" s="365" customFormat="1" ht="15" thickBot="1" x14ac:dyDescent="0.35">
      <c r="C606" s="326" t="s">
        <v>513</v>
      </c>
      <c r="E606"/>
      <c r="F606" s="347">
        <f ca="1">IF(F585&gt;0,SUM(E604:F605),0)</f>
        <v>0</v>
      </c>
      <c r="G606" s="347">
        <f ca="1">IF(G585&gt;0,SUM(E604:G605),0)</f>
        <v>61</v>
      </c>
      <c r="H606" s="347">
        <f ca="1">IF(H585&gt;0,SUM(E604:H605),0)</f>
        <v>55</v>
      </c>
      <c r="I606" s="347">
        <f ca="1">IF(I585&gt;0,SUM(E604:I605),0)</f>
        <v>49</v>
      </c>
      <c r="J606" s="347">
        <f ca="1">IF(J585&gt;0,SUM(E604:J605),0)</f>
        <v>44</v>
      </c>
      <c r="K606" s="347">
        <f ca="1">IF(K585&gt;0,SUM(E604:K605),0)</f>
        <v>40</v>
      </c>
      <c r="L606" s="347">
        <f ca="1">IF(L585&gt;0,SUM(E604:L605),0)</f>
        <v>36</v>
      </c>
      <c r="M606" s="347">
        <f ca="1">IF(M585&gt;0,SUM(E604:M605),0)</f>
        <v>32</v>
      </c>
      <c r="N606" s="347">
        <f ca="1">IF(N585&gt;0,SUM(E604:N605),0)</f>
        <v>29</v>
      </c>
      <c r="O606" s="369">
        <f ca="1">IF(O585&gt;0,SUM(E604:O605),0)</f>
        <v>26</v>
      </c>
      <c r="P606" s="375">
        <f t="shared" ref="P606" ca="1" si="400">IF(O606=0,IF(N606=0,IF(M606=0,IF(L606=0,IF(K606=0,IF(J606=0,IF(I606=0,IF(H606=0,IF(G606=0,IF(F606=0,E606,F606),G606),H606),I606),J606),K606),L606),M606),N606),O606)</f>
        <v>26</v>
      </c>
    </row>
    <row r="607" spans="3:16" ht="15" thickBot="1" x14ac:dyDescent="0.35">
      <c r="C607" s="59" t="s">
        <v>520</v>
      </c>
    </row>
    <row r="608" spans="3:16" ht="15.6" x14ac:dyDescent="0.3">
      <c r="C608" s="326" t="s">
        <v>514</v>
      </c>
      <c r="F608" s="149">
        <v>1</v>
      </c>
      <c r="G608" s="149">
        <v>2</v>
      </c>
      <c r="H608" s="149">
        <v>3</v>
      </c>
      <c r="I608" s="149">
        <v>4</v>
      </c>
      <c r="J608" s="149">
        <v>5</v>
      </c>
      <c r="K608" s="149">
        <v>6</v>
      </c>
      <c r="L608" s="149">
        <v>7</v>
      </c>
      <c r="M608" s="149">
        <v>8</v>
      </c>
      <c r="N608" s="149">
        <v>9</v>
      </c>
      <c r="O608" s="374">
        <v>10</v>
      </c>
      <c r="P608" s="351" t="s">
        <v>2</v>
      </c>
    </row>
    <row r="609" spans="3:16" s="365" customFormat="1" x14ac:dyDescent="0.3">
      <c r="C609" s="370">
        <v>1</v>
      </c>
      <c r="E609"/>
      <c r="F609" s="347">
        <f ca="1">IF($C609&lt;=ROUNDUP('B. Implementation Plan'!P201,0),ROUND(IF(AND($C609-'B. Implementation Plan'!P201&lt;1,$C609-'B. Implementation Plan'!P201&gt;0),MOD('B. Implementation Plan'!P201,1)*(E590+F590)*(1-'B. Implementation Plan'!P199)*'B. Implementation Plan'!P200*(1-'B. Implementation Plan'!P198)^($C609-1),(E590+F590)*(1-'B. Implementation Plan'!P199)*'B. Implementation Plan'!P200*(1-'B. Implementation Plan'!P198)^($C609-1)),0),0)</f>
        <v>11</v>
      </c>
      <c r="G609" s="347">
        <f ca="1">IF($C609&lt;=ROUNDUP('B. Implementation Plan'!P201,0),ROUND(IF(AND($C609-'B. Implementation Plan'!P201&lt;1,$C609-'B. Implementation Plan'!P201&gt;0),MOD('B. Implementation Plan'!P201,1)*G590*(1-'B. Implementation Plan'!P199)*'B. Implementation Plan'!P200*(1-'B. Implementation Plan'!P198)^($C609-1),G590*(1-'B. Implementation Plan'!P199)*'B. Implementation Plan'!P200*(1-'B. Implementation Plan'!P198)^($C609-1)),0),0)</f>
        <v>11</v>
      </c>
      <c r="H609" s="347">
        <f ca="1">IF($C609&lt;=ROUNDUP('B. Implementation Plan'!P201,0),ROUND(IF(AND($C609-'B. Implementation Plan'!P201&lt;1,$C609-'B. Implementation Plan'!P201&gt;0),MOD('B. Implementation Plan'!P201,1)*H590*(1-'B. Implementation Plan'!P199)*'B. Implementation Plan'!P200*(1-'B. Implementation Plan'!P198)^($C609-1),H590*(1-'B. Implementation Plan'!P199)*'B. Implementation Plan'!P200*(1-'B. Implementation Plan'!P198)^($C609-1)),0),0)</f>
        <v>12</v>
      </c>
      <c r="I609" s="347">
        <f ca="1">IF($C609&lt;=ROUNDUP('B. Implementation Plan'!P201,0),ROUND(IF(AND($C609-'B. Implementation Plan'!P201&lt;1,$C609-'B. Implementation Plan'!P201&gt;0),MOD('B. Implementation Plan'!P201,1)*I590*(1-'B. Implementation Plan'!P199)*'B. Implementation Plan'!P200*(1-'B. Implementation Plan'!P198)^($C609-1),I590*(1-'B. Implementation Plan'!P199)*'B. Implementation Plan'!P200*(1-'B. Implementation Plan'!P198)^($C609-1)),0),0)</f>
        <v>12</v>
      </c>
      <c r="J609" s="347">
        <f ca="1">IF($C609&lt;=ROUNDUP('B. Implementation Plan'!P201,0),ROUND(IF(AND($C609-'B. Implementation Plan'!P201&lt;1,$C609-'B. Implementation Plan'!P201&gt;0),MOD('B. Implementation Plan'!P201,1)*J590*(1-'B. Implementation Plan'!P199)*'B. Implementation Plan'!P200*(1-'B. Implementation Plan'!P198)^($C609-1),J590*(1-'B. Implementation Plan'!P199)*'B. Implementation Plan'!P200*(1-'B. Implementation Plan'!P198)^($C609-1)),0),0)</f>
        <v>12</v>
      </c>
      <c r="K609" s="347">
        <f ca="1">IF($C609&lt;=ROUNDUP('B. Implementation Plan'!P201,0),ROUND(IF(AND($C609-'B. Implementation Plan'!P201&lt;1,$C609-'B. Implementation Plan'!P201&gt;0),MOD('B. Implementation Plan'!P201,1)*K590*(1-'B. Implementation Plan'!P199)*'B. Implementation Plan'!P200*(1-'B. Implementation Plan'!P198)^($C609-1),K590*(1-'B. Implementation Plan'!P199)*'B. Implementation Plan'!P200*(1-'B. Implementation Plan'!P198)^($C609-1)),0),0)</f>
        <v>13</v>
      </c>
      <c r="L609" s="347">
        <f ca="1">IF($C609&lt;=ROUNDUP('B. Implementation Plan'!P201,0),ROUND(IF(AND($C609-'B. Implementation Plan'!P201&lt;1,$C609-'B. Implementation Plan'!P201&gt;0),MOD('B. Implementation Plan'!P201,1)*L590*(1-'B. Implementation Plan'!P199)*'B. Implementation Plan'!P200*(1-'B. Implementation Plan'!P198)^($C609-1),L590*(1-'B. Implementation Plan'!P199)*'B. Implementation Plan'!P200*(1-'B. Implementation Plan'!P198)^($C609-1)),0),0)</f>
        <v>13</v>
      </c>
      <c r="M609" s="347">
        <f ca="1">IF($C609&lt;=ROUNDUP('B. Implementation Plan'!P201,0),ROUND(IF(AND($C609-'B. Implementation Plan'!P201&lt;1,$C609-'B. Implementation Plan'!P201&gt;0),MOD('B. Implementation Plan'!P201,1)*M590*(1-'B. Implementation Plan'!P199)*'B. Implementation Plan'!P200*(1-'B. Implementation Plan'!P198)^($C609-1),M590*(1-'B. Implementation Plan'!P199)*'B. Implementation Plan'!P200*(1-'B. Implementation Plan'!P198)^($C609-1)),0),0)</f>
        <v>13</v>
      </c>
      <c r="N609" s="347">
        <f ca="1">IF($C609&lt;=ROUNDUP('B. Implementation Plan'!P201,0),ROUND(IF(AND($C609-'B. Implementation Plan'!P201&lt;1,$C609-'B. Implementation Plan'!P201&gt;0),MOD('B. Implementation Plan'!P201,1)*N590*(1-'B. Implementation Plan'!P199)*'B. Implementation Plan'!P200*(1-'B. Implementation Plan'!P198)^($C609-1),N590*(1-'B. Implementation Plan'!P199)*'B. Implementation Plan'!P200*(1-'B. Implementation Plan'!P198)^($C609-1)),0),0)</f>
        <v>13</v>
      </c>
      <c r="O609" s="347">
        <f ca="1">IF($C609&lt;=ROUNDUP('B. Implementation Plan'!P201,0),ROUND(IF(AND($C609-'B. Implementation Plan'!P201&lt;1,$C609-'B. Implementation Plan'!P201&gt;0),MOD('B. Implementation Plan'!P201,1)*O590*(1-'B. Implementation Plan'!P199)*'B. Implementation Plan'!P200*(1-'B. Implementation Plan'!P198)^($C609-1),O590*(1-'B. Implementation Plan'!P199)*'B. Implementation Plan'!P200*(1-'B. Implementation Plan'!P198)^($C609-1)),0),0)</f>
        <v>13</v>
      </c>
      <c r="P609" s="78">
        <f ca="1">IF(SUM(F609:O609)&gt;0,SUM(F609:O609),"")</f>
        <v>123</v>
      </c>
    </row>
    <row r="610" spans="3:16" s="365" customFormat="1" x14ac:dyDescent="0.3">
      <c r="C610" s="370">
        <v>2</v>
      </c>
      <c r="E610"/>
      <c r="F610"/>
      <c r="G610" s="347">
        <f ca="1">IF($C610&lt;=ROUNDUP('B. Implementation Plan'!P201,0),ROUND(IF(AND($C610-'B. Implementation Plan'!P201&lt;1,$C610-'B. Implementation Plan'!P201&gt;0),MOD('B. Implementation Plan'!P201,1)*(E590+F590)*(1-'B. Implementation Plan'!P199)*'B. Implementation Plan'!P200*(1-'B. Implementation Plan'!P198)^($C610-1),(E590+F590)*(1-'B. Implementation Plan'!P199)*'B. Implementation Plan'!P200*(1-'B. Implementation Plan'!P198)^($C610-1)),0),0)</f>
        <v>5</v>
      </c>
      <c r="H610" s="347">
        <f ca="1">IF($C610&lt;=ROUNDUP('B. Implementation Plan'!P201,0),ROUND(IF(AND($C610-'B. Implementation Plan'!P201&lt;1,$C610-'B. Implementation Plan'!P201&gt;0),MOD('B. Implementation Plan'!P201,1)*G590*(1-'B. Implementation Plan'!P199)*'B. Implementation Plan'!P200*(1-'B. Implementation Plan'!P198)^($C610-1),G590*(1-'B. Implementation Plan'!P199)*'B. Implementation Plan'!P200*(1-'B. Implementation Plan'!P198)^($C610-1)),0),0)</f>
        <v>5</v>
      </c>
      <c r="I610" s="347">
        <f ca="1">IF($C610&lt;=ROUNDUP('B. Implementation Plan'!P201,0),ROUND(IF(AND($C610-'B. Implementation Plan'!P201&lt;1,$C610-'B. Implementation Plan'!P201&gt;0),MOD('B. Implementation Plan'!P201,1)*H590*(1-'B. Implementation Plan'!P199)*'B. Implementation Plan'!P200*(1-'B. Implementation Plan'!P198)^($C610-1),H590*(1-'B. Implementation Plan'!P199)*'B. Implementation Plan'!P200*(1-'B. Implementation Plan'!P198)^($C610-1)),0),0)</f>
        <v>5</v>
      </c>
      <c r="J610" s="347">
        <f ca="1">IF($C610&lt;=ROUNDUP('B. Implementation Plan'!P201,0),ROUND(IF(AND($C610-'B. Implementation Plan'!P201&lt;1,$C610-'B. Implementation Plan'!P201&gt;0),MOD('B. Implementation Plan'!P201,1)*I590*(1-'B. Implementation Plan'!P199)*'B. Implementation Plan'!P200*(1-'B. Implementation Plan'!P198)^($C610-1),I590*(1-'B. Implementation Plan'!P199)*'B. Implementation Plan'!P200*(1-'B. Implementation Plan'!P198)^($C610-1)),0),0)</f>
        <v>5</v>
      </c>
      <c r="K610" s="347">
        <f ca="1">IF($C610&lt;=ROUNDUP('B. Implementation Plan'!P201,0),ROUND(IF(AND($C610-'B. Implementation Plan'!P201&lt;1,$C610-'B. Implementation Plan'!P201&gt;0),MOD('B. Implementation Plan'!P201,1)*J590*(1-'B. Implementation Plan'!P199)*'B. Implementation Plan'!P200*(1-'B. Implementation Plan'!P198)^($C610-1),J590*(1-'B. Implementation Plan'!P199)*'B. Implementation Plan'!P200*(1-'B. Implementation Plan'!P198)^($C610-1)),0),0)</f>
        <v>5</v>
      </c>
      <c r="L610" s="347">
        <f ca="1">IF($C610&lt;=ROUNDUP('B. Implementation Plan'!P201,0),ROUND(IF(AND($C610-'B. Implementation Plan'!P201&lt;1,$C610-'B. Implementation Plan'!P201&gt;0),MOD('B. Implementation Plan'!P201,1)*K590*(1-'B. Implementation Plan'!P199)*'B. Implementation Plan'!P200*(1-'B. Implementation Plan'!P198)^($C610-1),K590*(1-'B. Implementation Plan'!P199)*'B. Implementation Plan'!P200*(1-'B. Implementation Plan'!P198)^($C610-1)),0),0)</f>
        <v>6</v>
      </c>
      <c r="M610" s="347">
        <f ca="1">IF($C610&lt;=ROUNDUP('B. Implementation Plan'!P201,0),ROUND(IF(AND($C610-'B. Implementation Plan'!P201&lt;1,$C610-'B. Implementation Plan'!P201&gt;0),MOD('B. Implementation Plan'!P201,1)*L590*(1-'B. Implementation Plan'!P199)*'B. Implementation Plan'!P200*(1-'B. Implementation Plan'!P198)^($C610-1),L590*(1-'B. Implementation Plan'!P199)*'B. Implementation Plan'!P200*(1-'B. Implementation Plan'!P198)^($C610-1)),0),0)</f>
        <v>6</v>
      </c>
      <c r="N610" s="347">
        <f ca="1">IF($C610&lt;=ROUNDUP('B. Implementation Plan'!P201,0),ROUND(IF(AND($C610-'B. Implementation Plan'!P201&lt;1,$C610-'B. Implementation Plan'!P201&gt;0),MOD('B. Implementation Plan'!P201,1)*M590*(1-'B. Implementation Plan'!P199)*'B. Implementation Plan'!P200*(1-'B. Implementation Plan'!P198)^($C610-1),M590*(1-'B. Implementation Plan'!P199)*'B. Implementation Plan'!P200*(1-'B. Implementation Plan'!P198)^($C610-1)),0),0)</f>
        <v>6</v>
      </c>
      <c r="O610" s="347">
        <f ca="1">IF($C610&lt;=ROUNDUP('B. Implementation Plan'!P201,0),ROUND(IF(AND($C610-'B. Implementation Plan'!P201&lt;1,$C610-'B. Implementation Plan'!P201&gt;0),MOD('B. Implementation Plan'!P201,1)*N590*(1-'B. Implementation Plan'!P199)*'B. Implementation Plan'!P200*(1-'B. Implementation Plan'!P198)^($C610-1),N590*(1-'B. Implementation Plan'!P199)*'B. Implementation Plan'!P200*(1-'B. Implementation Plan'!P198)^($C610-1)),0),0)</f>
        <v>6</v>
      </c>
      <c r="P610" s="78">
        <f t="shared" ref="P610:P618" ca="1" si="401">IF(SUM(F610:O610)&gt;0,SUM(F610:O610),"")</f>
        <v>49</v>
      </c>
    </row>
    <row r="611" spans="3:16" s="365" customFormat="1" x14ac:dyDescent="0.3">
      <c r="C611" s="370">
        <v>3</v>
      </c>
      <c r="E611"/>
      <c r="F611"/>
      <c r="G611"/>
      <c r="H611" s="347">
        <f>IF($C611&lt;=ROUNDUP('B. Implementation Plan'!P201,0),ROUND(IF(AND($C611-'B. Implementation Plan'!P201&lt;1,$C611-'B. Implementation Plan'!P201&gt;0),MOD('B. Implementation Plan'!P201,1)*(E590+F590)*(1-'B. Implementation Plan'!P199)*'B. Implementation Plan'!P200*(1-'B. Implementation Plan'!P198)^($C611-1),(E590+F590)*(1-'B. Implementation Plan'!P199)*'B. Implementation Plan'!P200*(1-'B. Implementation Plan'!P198)^($C611-1)),0),0)</f>
        <v>0</v>
      </c>
      <c r="I611" s="347">
        <f>IF($C611&lt;=ROUNDUP('B. Implementation Plan'!P201,0),ROUND(IF(AND($C611-'B. Implementation Plan'!P201&lt;1,$C611-'B. Implementation Plan'!P201&gt;0),MOD('B. Implementation Plan'!P201,1)*G590*(1-'B. Implementation Plan'!P199)*'B. Implementation Plan'!P200*(1-'B. Implementation Plan'!P198)^($C611-1),G590*(1-'B. Implementation Plan'!P199)*'B. Implementation Plan'!P200*(1-'B. Implementation Plan'!P198)^($C611-1)),0),0)</f>
        <v>0</v>
      </c>
      <c r="J611" s="347">
        <f>IF($C611&lt;=ROUNDUP('B. Implementation Plan'!P201,0),ROUND(IF(AND($C611-'B. Implementation Plan'!P201&lt;1,$C611-'B. Implementation Plan'!P201&gt;0),MOD('B. Implementation Plan'!P201,1)*H590*(1-'B. Implementation Plan'!P199)*'B. Implementation Plan'!P200*(1-'B. Implementation Plan'!P198)^($C611-1),H590*(1-'B. Implementation Plan'!P199)*'B. Implementation Plan'!P200*(1-'B. Implementation Plan'!P198)^($C611-1)),0),0)</f>
        <v>0</v>
      </c>
      <c r="K611" s="347">
        <f>IF($C611&lt;=ROUNDUP('B. Implementation Plan'!P201,0),ROUND(IF(AND($C611-'B. Implementation Plan'!P201&lt;1,$C611-'B. Implementation Plan'!P201&gt;0),MOD('B. Implementation Plan'!P201,1)*I590*(1-'B. Implementation Plan'!P199)*'B. Implementation Plan'!P200*(1-'B. Implementation Plan'!P198)^($C611-1),I590*(1-'B. Implementation Plan'!P199)*'B. Implementation Plan'!P200*(1-'B. Implementation Plan'!P198)^($C611-1)),0),0)</f>
        <v>0</v>
      </c>
      <c r="L611" s="347">
        <f>IF($C611&lt;=ROUNDUP('B. Implementation Plan'!P201,0),ROUND(IF(AND($C611-'B. Implementation Plan'!P201&lt;1,$C611-'B. Implementation Plan'!P201&gt;0),MOD('B. Implementation Plan'!P201,1)*J590*(1-'B. Implementation Plan'!P199)*'B. Implementation Plan'!P200*(1-'B. Implementation Plan'!P198)^($C611-1),J590*(1-'B. Implementation Plan'!P199)*'B. Implementation Plan'!P200*(1-'B. Implementation Plan'!P198)^($C611-1)),0),0)</f>
        <v>0</v>
      </c>
      <c r="M611" s="347">
        <f>IF($C611&lt;=ROUNDUP('B. Implementation Plan'!P201,0),ROUND(IF(AND($C611-'B. Implementation Plan'!P201&lt;1,$C611-'B. Implementation Plan'!P201&gt;0),MOD('B. Implementation Plan'!P201,1)*K590*(1-'B. Implementation Plan'!P199)*'B. Implementation Plan'!P200*(1-'B. Implementation Plan'!P198)^($C611-1),K590*(1-'B. Implementation Plan'!P199)*'B. Implementation Plan'!P200*(1-'B. Implementation Plan'!P198)^($C611-1)),0),0)</f>
        <v>0</v>
      </c>
      <c r="N611" s="347">
        <f>IF($C611&lt;=ROUNDUP('B. Implementation Plan'!P201,0),ROUND(IF(AND($C611-'B. Implementation Plan'!P201&lt;1,$C611-'B. Implementation Plan'!P201&gt;0),MOD('B. Implementation Plan'!P201,1)*L590*(1-'B. Implementation Plan'!P199)*'B. Implementation Plan'!P200*(1-'B. Implementation Plan'!P198)^($C611-1),L590*(1-'B. Implementation Plan'!P199)*'B. Implementation Plan'!P200*(1-'B. Implementation Plan'!P198)^($C611-1)),0),0)</f>
        <v>0</v>
      </c>
      <c r="O611" s="347">
        <f>IF($C611&lt;=ROUNDUP('B. Implementation Plan'!P201,0),ROUND(IF(AND($C611-'B. Implementation Plan'!P201&lt;1,$C611-'B. Implementation Plan'!P201&gt;0),MOD('B. Implementation Plan'!P201,1)*M590*(1-'B. Implementation Plan'!P199)*'B. Implementation Plan'!P200*(1-'B. Implementation Plan'!P198)^($C611-1),M590*(1-'B. Implementation Plan'!P199)*'B. Implementation Plan'!P200*(1-'B. Implementation Plan'!P198)^($C611-1)),0),0)</f>
        <v>0</v>
      </c>
      <c r="P611" s="78" t="str">
        <f t="shared" si="401"/>
        <v/>
      </c>
    </row>
    <row r="612" spans="3:16" s="365" customFormat="1" x14ac:dyDescent="0.3">
      <c r="C612" s="370">
        <v>4</v>
      </c>
      <c r="D612" s="365" t="s">
        <v>361</v>
      </c>
      <c r="E612"/>
      <c r="F612"/>
      <c r="G612"/>
      <c r="H612"/>
      <c r="I612" s="347">
        <f>IF($C612&lt;=ROUNDUP('B. Implementation Plan'!P201,0),ROUND(IF(AND($C612-'B. Implementation Plan'!P201&lt;1,$C612-'B. Implementation Plan'!P201&gt;0),MOD('B. Implementation Plan'!P201,1)*(E590+F590)*(1-'B. Implementation Plan'!P199)*'B. Implementation Plan'!P200*(1-'B. Implementation Plan'!P198)^($C612-1),(E590+F590)*(1-'B. Implementation Plan'!P199)*'B. Implementation Plan'!P200*(1-'B. Implementation Plan'!P198)^($C612-1)),0),0)</f>
        <v>0</v>
      </c>
      <c r="J612" s="347">
        <f>IF($C612&lt;=ROUNDUP('B. Implementation Plan'!P201,0),ROUND(IF(AND($C612-'B. Implementation Plan'!P201&lt;1,$C612-'B. Implementation Plan'!P201&gt;0),MOD('B. Implementation Plan'!P201,1)*G590*(1-'B. Implementation Plan'!P199)*'B. Implementation Plan'!P200*(1-'B. Implementation Plan'!P198)^($C612-1),G590*(1-'B. Implementation Plan'!P199)*'B. Implementation Plan'!P200*(1-'B. Implementation Plan'!P198)^($C612-1)),0),0)</f>
        <v>0</v>
      </c>
      <c r="K612" s="347">
        <f>IF($C612&lt;=ROUNDUP('B. Implementation Plan'!P201,0),ROUND(IF(AND($C612-'B. Implementation Plan'!P201&lt;1,$C612-'B. Implementation Plan'!P201&gt;0),MOD('B. Implementation Plan'!P201,1)*H590*(1-'B. Implementation Plan'!P199)*'B. Implementation Plan'!P200*(1-'B. Implementation Plan'!P198)^($C612-1),H590*(1-'B. Implementation Plan'!P199)*'B. Implementation Plan'!P200*(1-'B. Implementation Plan'!P198)^($C612-1)),0),0)</f>
        <v>0</v>
      </c>
      <c r="L612" s="347">
        <f>IF($C612&lt;=ROUNDUP('B. Implementation Plan'!P201,0),ROUND(IF(AND($C612-'B. Implementation Plan'!P201&lt;1,$C612-'B. Implementation Plan'!P201&gt;0),MOD('B. Implementation Plan'!P201,1)*I590*(1-'B. Implementation Plan'!P199)*'B. Implementation Plan'!P200*(1-'B. Implementation Plan'!P198)^($C612-1),I590*(1-'B. Implementation Plan'!P199)*'B. Implementation Plan'!P200*(1-'B. Implementation Plan'!P198)^($C612-1)),0),0)</f>
        <v>0</v>
      </c>
      <c r="M612" s="347">
        <f>IF($C612&lt;=ROUNDUP('B. Implementation Plan'!P201,0),ROUND(IF(AND($C612-'B. Implementation Plan'!P201&lt;1,$C612-'B. Implementation Plan'!P201&gt;0),MOD('B. Implementation Plan'!P201,1)*J590*(1-'B. Implementation Plan'!P199)*'B. Implementation Plan'!P200*(1-'B. Implementation Plan'!P198)^($C612-1),J590*(1-'B. Implementation Plan'!P199)*'B. Implementation Plan'!P200*(1-'B. Implementation Plan'!P198)^($C612-1)),0),0)</f>
        <v>0</v>
      </c>
      <c r="N612" s="347">
        <f>IF($C612&lt;=ROUNDUP('B. Implementation Plan'!P201,0),ROUND(IF(AND($C612-'B. Implementation Plan'!P201&lt;1,$C612-'B. Implementation Plan'!P201&gt;0),MOD('B. Implementation Plan'!P201,1)*K590*(1-'B. Implementation Plan'!P199)*'B. Implementation Plan'!P200*(1-'B. Implementation Plan'!P198)^($C612-1),K590*(1-'B. Implementation Plan'!P199)*'B. Implementation Plan'!P200*(1-'B. Implementation Plan'!P198)^($C612-1)),0),0)</f>
        <v>0</v>
      </c>
      <c r="O612" s="347">
        <f>IF($C612&lt;=ROUNDUP('B. Implementation Plan'!P201,0),ROUND(IF(AND($C612-'B. Implementation Plan'!P201&lt;1,$C612-'B. Implementation Plan'!P201&gt;0),MOD('B. Implementation Plan'!P201,1)*L590*(1-'B. Implementation Plan'!P199)*'B. Implementation Plan'!P200*(1-'B. Implementation Plan'!P198)^($C612-1),L590*(1-'B. Implementation Plan'!P199)*'B. Implementation Plan'!P200*(1-'B. Implementation Plan'!P198)^($C612-1)),0),0)</f>
        <v>0</v>
      </c>
      <c r="P612" s="78" t="str">
        <f t="shared" si="401"/>
        <v/>
      </c>
    </row>
    <row r="613" spans="3:16" s="365" customFormat="1" x14ac:dyDescent="0.3">
      <c r="C613" s="370">
        <v>5</v>
      </c>
      <c r="E613"/>
      <c r="F613"/>
      <c r="G613"/>
      <c r="H613"/>
      <c r="I613"/>
      <c r="J613" s="347">
        <f>IF($C613&lt;=ROUNDUP('B. Implementation Plan'!P201,0),ROUND(IF(AND($C613-'B. Implementation Plan'!P201&lt;1,$C613-'B. Implementation Plan'!P201&gt;0),MOD('B. Implementation Plan'!P201,1)*(E590+F590)*(1-'B. Implementation Plan'!P199)*'B. Implementation Plan'!P200*(1-'B. Implementation Plan'!P198)^($C613-1),(E590+F590)*(1-'B. Implementation Plan'!P199)*'B. Implementation Plan'!P200*(1-'B. Implementation Plan'!P198)^($C613-1)),0),0)</f>
        <v>0</v>
      </c>
      <c r="K613" s="347">
        <f>IF($C613&lt;=ROUNDUP('B. Implementation Plan'!P201,0),ROUND(IF(AND($C613-'B. Implementation Plan'!P201&lt;1,$C613-'B. Implementation Plan'!P201&gt;0),MOD('B. Implementation Plan'!P201,1)*G590*(1-'B. Implementation Plan'!P199)*'B. Implementation Plan'!P200*(1-'B. Implementation Plan'!P198)^($C613-1),G590*(1-'B. Implementation Plan'!P199)*'B. Implementation Plan'!P200*(1-'B. Implementation Plan'!P198)^($C613-1)),0),0)</f>
        <v>0</v>
      </c>
      <c r="L613" s="347">
        <f>IF($C613&lt;=ROUNDUP('B. Implementation Plan'!P201,0),ROUND(IF(AND($C613-'B. Implementation Plan'!P201&lt;1,$C613-'B. Implementation Plan'!P201&gt;0),MOD('B. Implementation Plan'!P201,1)*H590*(1-'B. Implementation Plan'!P199)*'B. Implementation Plan'!P200*(1-'B. Implementation Plan'!P198)^($C613-1),H590*(1-'B. Implementation Plan'!P199)*'B. Implementation Plan'!P200*(1-'B. Implementation Plan'!P198)^($C613-1)),0),0)</f>
        <v>0</v>
      </c>
      <c r="M613" s="347">
        <f>IF($C613&lt;=ROUNDUP('B. Implementation Plan'!P201,0),ROUND(IF(AND($C613-'B. Implementation Plan'!P201&lt;1,$C613-'B. Implementation Plan'!P201&gt;0),MOD('B. Implementation Plan'!P201,1)*I590*(1-'B. Implementation Plan'!P199)*'B. Implementation Plan'!P200*(1-'B. Implementation Plan'!P198)^($C613-1),I590*(1-'B. Implementation Plan'!P199)*'B. Implementation Plan'!P200*(1-'B. Implementation Plan'!P198)^($C613-1)),0),0)</f>
        <v>0</v>
      </c>
      <c r="N613" s="347">
        <f>IF($C613&lt;=ROUNDUP('B. Implementation Plan'!P201,0),ROUND(IF(AND($C613-'B. Implementation Plan'!P201&lt;1,$C613-'B. Implementation Plan'!P201&gt;0),MOD('B. Implementation Plan'!P201,1)*J590*(1-'B. Implementation Plan'!P199)*'B. Implementation Plan'!P200*(1-'B. Implementation Plan'!P198)^($C613-1),J590*(1-'B. Implementation Plan'!P199)*'B. Implementation Plan'!P200*(1-'B. Implementation Plan'!P198)^($C613-1)),0),0)</f>
        <v>0</v>
      </c>
      <c r="O613" s="347">
        <f>IF($C613&lt;=ROUNDUP('B. Implementation Plan'!P201,0),ROUND(IF(AND($C613-'B. Implementation Plan'!P201&lt;1,$C613-'B. Implementation Plan'!P201&gt;0),MOD('B. Implementation Plan'!P201,1)*O590*(1-'B. Implementation Plan'!P199)*'B. Implementation Plan'!P200*(1-'B. Implementation Plan'!P198)^C613,O590*(1-'B. Implementation Plan'!P199)*'B. Implementation Plan'!P200*(1-'B. Implementation Plan'!P198)^($C613-1)),0),0)</f>
        <v>0</v>
      </c>
      <c r="P613" s="78" t="str">
        <f t="shared" si="401"/>
        <v/>
      </c>
    </row>
    <row r="614" spans="3:16" s="365" customFormat="1" x14ac:dyDescent="0.3">
      <c r="C614" s="370">
        <v>6</v>
      </c>
      <c r="E614"/>
      <c r="F614"/>
      <c r="G614"/>
      <c r="H614"/>
      <c r="I614"/>
      <c r="J614"/>
      <c r="K614" s="347">
        <f>IF($C614&lt;=ROUNDUP('B. Implementation Plan'!P201,0),ROUND(IF(AND($C614-'B. Implementation Plan'!P201&lt;1,$C614-'B. Implementation Plan'!P201&gt;0),MOD('B. Implementation Plan'!P201,1)*(E590+F590)*(1-'B. Implementation Plan'!P199)*'B. Implementation Plan'!P200*(1-'B. Implementation Plan'!P198)^($C614-1),(E590+F590)*(1-'B. Implementation Plan'!P199)*'B. Implementation Plan'!P200*(1-'B. Implementation Plan'!P198)^($C614-1)),0),0)</f>
        <v>0</v>
      </c>
      <c r="L614" s="347">
        <f>IF($C614&lt;=ROUNDUP('B. Implementation Plan'!P201,0),ROUND(IF(AND($C614-'B. Implementation Plan'!P201&lt;1,$C614-'B. Implementation Plan'!P201&gt;0),MOD('B. Implementation Plan'!P201,1)*G590*(1-'B. Implementation Plan'!P199)*'B. Implementation Plan'!P200*(1-'B. Implementation Plan'!P198)^($C614-1),G590*(1-'B. Implementation Plan'!P199)*'B. Implementation Plan'!P200*(1-'B. Implementation Plan'!P198)^($C614-1)),0),0)</f>
        <v>0</v>
      </c>
      <c r="M614" s="347">
        <f>IF($C614&lt;=ROUNDUP('B. Implementation Plan'!P201,0),ROUND(IF(AND($C614-'B. Implementation Plan'!P201&lt;1,$C614-'B. Implementation Plan'!P201&gt;0),MOD('B. Implementation Plan'!P201,1)*H590*(1-'B. Implementation Plan'!P199)*'B. Implementation Plan'!P200*(1-'B. Implementation Plan'!P198)^($C614-1),H590*(1-'B. Implementation Plan'!P199)*'B. Implementation Plan'!P200*(1-'B. Implementation Plan'!P198)^($C614-1)),0),0)</f>
        <v>0</v>
      </c>
      <c r="N614" s="347">
        <f>IF($C614&lt;=ROUNDUP('B. Implementation Plan'!P201,0),ROUND(IF(AND($C614-'B. Implementation Plan'!P201&lt;1,$C614-'B. Implementation Plan'!P201&gt;0),MOD('B. Implementation Plan'!P201,1)*I590*(1-'B. Implementation Plan'!P199)*'B. Implementation Plan'!P200*(1-'B. Implementation Plan'!P198)^($C614-1),I590*(1-'B. Implementation Plan'!P199)*'B. Implementation Plan'!P200*(1-'B. Implementation Plan'!P198)^($C614-1)),0),0)</f>
        <v>0</v>
      </c>
      <c r="O614" s="347">
        <f>IF($C614&lt;=ROUNDUP('B. Implementation Plan'!P201,0),ROUND(IF(AND($C614-'B. Implementation Plan'!P201&lt;1,$C614-'B. Implementation Plan'!P201&gt;0),MOD('B. Implementation Plan'!P201,1)*J590*(1-'B. Implementation Plan'!P199)*'B. Implementation Plan'!P200*(1-'B. Implementation Plan'!P198)^($C614-1),J590*(1-'B. Implementation Plan'!P199)*'B. Implementation Plan'!P200*(1-'B. Implementation Plan'!P198)^($C614-1)),0),0)</f>
        <v>0</v>
      </c>
      <c r="P614" s="78" t="str">
        <f t="shared" si="401"/>
        <v/>
      </c>
    </row>
    <row r="615" spans="3:16" s="365" customFormat="1" x14ac:dyDescent="0.3">
      <c r="C615" s="370">
        <v>7</v>
      </c>
      <c r="E615"/>
      <c r="F615"/>
      <c r="G615"/>
      <c r="H615"/>
      <c r="I615"/>
      <c r="J615"/>
      <c r="K615"/>
      <c r="L615" s="347">
        <f>IF($C615&lt;=ROUNDUP('B. Implementation Plan'!P201,0),ROUND(IF(AND($C615-'B. Implementation Plan'!P201&lt;1,$C615-'B. Implementation Plan'!P201&gt;0),MOD('B. Implementation Plan'!P201,1)*(E590+F590)*(1-'B. Implementation Plan'!P199)*'B. Implementation Plan'!P200*(1-'B. Implementation Plan'!P198)^($C615-1),(E590+F590)*(1-'B. Implementation Plan'!P199)*'B. Implementation Plan'!P200*(1-'B. Implementation Plan'!P198)^($C615-1)),0),0)</f>
        <v>0</v>
      </c>
      <c r="M615" s="347">
        <f>IF($C615&lt;=ROUNDUP('B. Implementation Plan'!P201,0),ROUND(IF(AND($C615-'B. Implementation Plan'!P201&lt;1,$C615-'B. Implementation Plan'!P201&gt;0),MOD('B. Implementation Plan'!P201,1)*G590*(1-'B. Implementation Plan'!P199)*'B. Implementation Plan'!P200*(1-'B. Implementation Plan'!P198)^($C615-1),G590*(1-'B. Implementation Plan'!P199)*'B. Implementation Plan'!P200*(1-'B. Implementation Plan'!P198)^($C615-1)),0),0)</f>
        <v>0</v>
      </c>
      <c r="N615" s="347">
        <f>IF($C615&lt;=ROUNDUP('B. Implementation Plan'!P201,0),ROUND(IF(AND($C615-'B. Implementation Plan'!P201&lt;1,$C615-'B. Implementation Plan'!P201&gt;0),MOD('B. Implementation Plan'!P201,1)*H590*(1-'B. Implementation Plan'!P199)*'B. Implementation Plan'!P200*(1-'B. Implementation Plan'!P198)^($C615-1),H590*(1-'B. Implementation Plan'!P199)*'B. Implementation Plan'!P200*(1-'B. Implementation Plan'!P198)^($C615-1)),0),0)</f>
        <v>0</v>
      </c>
      <c r="O615" s="347">
        <f>IF($C615&lt;=ROUNDUP('B. Implementation Plan'!P201,0),ROUND(IF(AND($C615-'B. Implementation Plan'!P201&lt;1,$C615-'B. Implementation Plan'!P201&gt;0),MOD('B. Implementation Plan'!P201,1)*I590*(1-'B. Implementation Plan'!P199)*'B. Implementation Plan'!P200*(1-'B. Implementation Plan'!P198)^($C615-1),I590*(1-'B. Implementation Plan'!P199)*'B. Implementation Plan'!P200*(1-'B. Implementation Plan'!P198)^($C615-1)),0),0)</f>
        <v>0</v>
      </c>
      <c r="P615" s="78" t="str">
        <f t="shared" si="401"/>
        <v/>
      </c>
    </row>
    <row r="616" spans="3:16" s="365" customFormat="1" x14ac:dyDescent="0.3">
      <c r="C616" s="370">
        <v>8</v>
      </c>
      <c r="E616"/>
      <c r="F616"/>
      <c r="G616"/>
      <c r="H616"/>
      <c r="I616"/>
      <c r="J616"/>
      <c r="K616"/>
      <c r="L616"/>
      <c r="M616" s="347">
        <f>IF($C616&lt;=ROUNDUP('B. Implementation Plan'!P201,0),ROUND(IF(AND($C616-'B. Implementation Plan'!P201&lt;1,$C616-'B. Implementation Plan'!P201&gt;0),MOD('B. Implementation Plan'!P201,1)*(E590+F590)*(1-'B. Implementation Plan'!P199)*'B. Implementation Plan'!P200*(1-'B. Implementation Plan'!P198)^($C616-1),(E590+F590)*(1-'B. Implementation Plan'!P199)*'B. Implementation Plan'!P200*(1-'B. Implementation Plan'!P198)^($C616-1)),0),0)</f>
        <v>0</v>
      </c>
      <c r="N616" s="347">
        <f>IF($C616&lt;=ROUNDUP('B. Implementation Plan'!P201,0),ROUND(IF(AND($C616-'B. Implementation Plan'!P201&lt;1,$C616-'B. Implementation Plan'!P201&gt;0),MOD('B. Implementation Plan'!P201,1)*G590*(1-'B. Implementation Plan'!P199)*'B. Implementation Plan'!P200*(1-'B. Implementation Plan'!P198)^($C616-1),G590*(1-'B. Implementation Plan'!P199)*'B. Implementation Plan'!P200*(1-'B. Implementation Plan'!P198)^($C616-1)),0),0)</f>
        <v>0</v>
      </c>
      <c r="O616" s="347">
        <f>IF($C616&lt;=ROUNDUP('B. Implementation Plan'!P201,0),ROUND(IF(AND($C616-'B. Implementation Plan'!P201&lt;1,$C616-'B. Implementation Plan'!P201&gt;0),MOD('B. Implementation Plan'!P201,1)*H590*(1-'B. Implementation Plan'!P199)*'B. Implementation Plan'!P200*(1-'B. Implementation Plan'!P198)^($C616-1),H590*(1-'B. Implementation Plan'!P199)*'B. Implementation Plan'!P200*(1-'B. Implementation Plan'!P198)^($C616-1)),0),0)</f>
        <v>0</v>
      </c>
      <c r="P616" s="78" t="str">
        <f t="shared" si="401"/>
        <v/>
      </c>
    </row>
    <row r="617" spans="3:16" s="365" customFormat="1" x14ac:dyDescent="0.3">
      <c r="C617" s="370">
        <v>9</v>
      </c>
      <c r="E617"/>
      <c r="F617"/>
      <c r="G617"/>
      <c r="H617"/>
      <c r="I617"/>
      <c r="J617"/>
      <c r="K617"/>
      <c r="L617"/>
      <c r="M617"/>
      <c r="N617" s="347">
        <f>IF($C617&lt;=ROUNDUP('B. Implementation Plan'!P201,0),ROUND(IF(AND($C617-'B. Implementation Plan'!P201&lt;1,$C617-'B. Implementation Plan'!P201&gt;0),MOD('B. Implementation Plan'!P201,1)*(E590+F590)*(1-'B. Implementation Plan'!P199)*'B. Implementation Plan'!P200*(1-'B. Implementation Plan'!P198)^($C617-1),(E590+F590)*(1-'B. Implementation Plan'!P199)*'B. Implementation Plan'!P200*(1-'B. Implementation Plan'!P198)^($C617-1)),0),0)</f>
        <v>0</v>
      </c>
      <c r="O617" s="347">
        <f>IF($C617&lt;=ROUNDUP('B. Implementation Plan'!P201,0),ROUND(IF(AND($C617-'B. Implementation Plan'!P201&lt;1,$C617-'B. Implementation Plan'!P201&gt;0),MOD('B. Implementation Plan'!P201,1)*G590*(1-'B. Implementation Plan'!P199)*'B. Implementation Plan'!P200*(1-'B. Implementation Plan'!P198)^($C617-1),G590*(1-'B. Implementation Plan'!P199)*'B. Implementation Plan'!P200*(1-'B. Implementation Plan'!P198)^($C617-1)),0),0)</f>
        <v>0</v>
      </c>
      <c r="P617" s="78" t="str">
        <f t="shared" si="401"/>
        <v/>
      </c>
    </row>
    <row r="618" spans="3:16" s="365" customFormat="1" x14ac:dyDescent="0.3">
      <c r="C618" s="370">
        <v>10</v>
      </c>
      <c r="E618"/>
      <c r="F618"/>
      <c r="G618"/>
      <c r="H618"/>
      <c r="I618"/>
      <c r="J618"/>
      <c r="K618"/>
      <c r="L618"/>
      <c r="M618"/>
      <c r="N618" s="19"/>
      <c r="O618" s="347">
        <f>IF($C618&lt;=ROUNDUP('B. Implementation Plan'!P201,0),ROUND(IF(AND($C618-'B. Implementation Plan'!P201&lt;1,$C618-'B. Implementation Plan'!P201&gt;0),MOD('B. Implementation Plan'!P201,1)*(E590+F590)*(1-'B. Implementation Plan'!P199)*'B. Implementation Plan'!P200*(1-'B. Implementation Plan'!P198)^($C618-1),(E590+F590)*(1-'B. Implementation Plan'!P199)*'B. Implementation Plan'!P200*(1-'B. Implementation Plan'!P198)^($C618-1)),0),0)</f>
        <v>0</v>
      </c>
      <c r="P618" s="78" t="str">
        <f t="shared" si="401"/>
        <v/>
      </c>
    </row>
    <row r="619" spans="3:16" s="1" customFormat="1" x14ac:dyDescent="0.3">
      <c r="C619" s="376" t="s">
        <v>515</v>
      </c>
      <c r="E619"/>
      <c r="F619" s="371">
        <f t="shared" ref="F619:O619" ca="1" si="402">IF(F585&gt;0,SUM(F609:F618),0)</f>
        <v>11</v>
      </c>
      <c r="G619" s="371">
        <f t="shared" ca="1" si="402"/>
        <v>16</v>
      </c>
      <c r="H619" s="371">
        <f t="shared" ca="1" si="402"/>
        <v>17</v>
      </c>
      <c r="I619" s="371">
        <f t="shared" ca="1" si="402"/>
        <v>17</v>
      </c>
      <c r="J619" s="371">
        <f t="shared" ca="1" si="402"/>
        <v>17</v>
      </c>
      <c r="K619" s="371">
        <f t="shared" ca="1" si="402"/>
        <v>18</v>
      </c>
      <c r="L619" s="371">
        <f t="shared" ca="1" si="402"/>
        <v>19</v>
      </c>
      <c r="M619" s="371">
        <f t="shared" ca="1" si="402"/>
        <v>19</v>
      </c>
      <c r="N619" s="371">
        <f t="shared" ca="1" si="402"/>
        <v>19</v>
      </c>
      <c r="O619" s="371">
        <f t="shared" ca="1" si="402"/>
        <v>19</v>
      </c>
      <c r="P619" s="325">
        <f ca="1">SUM(E619:O619)</f>
        <v>172</v>
      </c>
    </row>
    <row r="620" spans="3:16" s="1" customFormat="1" x14ac:dyDescent="0.3">
      <c r="C620" s="353" t="s">
        <v>517</v>
      </c>
      <c r="E620"/>
      <c r="F620" s="324">
        <f ca="1">MIN(IFERROR(ROUNDUP(IF(F585&gt;0,INDEX(F609:F618,MATCH(9.99999999999999E+307,P609:P618))/IF(MOD('B. Implementation Plan'!P201,1)=0,1,MOD('B. Implementation Plan'!P201,1)),0),0),0),MAX(E609:E618))</f>
        <v>0</v>
      </c>
      <c r="G620" s="324">
        <f ca="1">MIN(IFERROR(ROUNDUP(IF(G585&gt;0,INDEX(G609:G618,MATCH(9.99999999999999E+307,P609:P618))/IF(MOD('B. Implementation Plan'!P201,1)=0,1,MOD('B. Implementation Plan'!P201,1)),0),0),0),MAX(E609:F618))</f>
        <v>10</v>
      </c>
      <c r="H620" s="324">
        <f ca="1">MIN(IFERROR(ROUNDUP(IF(H585&gt;0,INDEX(H609:H618,MATCH(9.99999999999999E+307,P609:P618))/IF(MOD('B. Implementation Plan'!P201,1)=0,1,MOD('B. Implementation Plan'!P201,1)),0),0),0),MAX(E609:G618))</f>
        <v>10</v>
      </c>
      <c r="I620" s="324">
        <f ca="1">MIN(IFERROR(ROUNDUP(IF(I585&gt;0,INDEX(I609:I618,MATCH(9.99999999999999E+307,P609:P618))/IF(MOD('B. Implementation Plan'!P201,1)=0,1,MOD('B. Implementation Plan'!P201,1)),0),0),0),MAX(E609:H618))</f>
        <v>10</v>
      </c>
      <c r="J620" s="324">
        <f ca="1">MIN(IFERROR(ROUNDUP(IF(J585&gt;0,INDEX(J609:J618,MATCH(9.99999999999999E+307,P609:P618))/IF(MOD('B. Implementation Plan'!P201,1)=0,1,MOD('B. Implementation Plan'!P201,1)),0),0),0),MAX(E609:I618))</f>
        <v>10</v>
      </c>
      <c r="K620" s="324">
        <f ca="1">MIN(IFERROR(ROUNDUP(IF(K585&gt;0,INDEX(K609:K618,MATCH(9.99999999999999E+307,P609:P618))/IF(MOD('B. Implementation Plan'!P201,1)=0,1,MOD('B. Implementation Plan'!P201,1)),0),0),0),MAX(E609:J618))</f>
        <v>10</v>
      </c>
      <c r="L620" s="324">
        <f ca="1">MIN(IFERROR(ROUNDUP(IF(L585&gt;0,INDEX(L609:L618,MATCH(9.99999999999999E+307,P609:P618))/IF(MOD('B. Implementation Plan'!P201,1)=0,1,MOD('B. Implementation Plan'!P201,1)),0),0),0),MAX(E609:K618))</f>
        <v>12</v>
      </c>
      <c r="M620" s="324">
        <f ca="1">MIN(IFERROR(ROUNDUP(IF(M585&gt;0,INDEX(M609:M618,MATCH(9.99999999999999E+307,P609:P618))/IF(MOD('B. Implementation Plan'!P201,1)=0,1,MOD('B. Implementation Plan'!P201,1)),0),0),0),MAX(E609:L618))</f>
        <v>12</v>
      </c>
      <c r="N620" s="324">
        <f ca="1">MIN(IFERROR(ROUNDUP(IF(N585&gt;0,INDEX(N609:N618,MATCH(9.99999999999999E+307,P609:P618))/IF(MOD('B. Implementation Plan'!P201,1)=0,1,MOD('B. Implementation Plan'!P201,1)),0),0),0),MAX(E609:M618))</f>
        <v>12</v>
      </c>
      <c r="O620" s="324">
        <f ca="1">MIN(IFERROR(ROUNDUP(IF(O585&gt;0,INDEX(O609:O618,MATCH(9.99999999999999E+307,P609:P618))/IF(MOD('B. Implementation Plan'!P201,1)=0,1,MOD('B. Implementation Plan'!P201,1)),0),0),0),MAX(E609:N618))</f>
        <v>12</v>
      </c>
      <c r="P620" s="325">
        <f ca="1">SUM(E620:O620)</f>
        <v>98</v>
      </c>
    </row>
    <row r="621" spans="3:16" s="365" customFormat="1" x14ac:dyDescent="0.3">
      <c r="C621" s="326" t="s">
        <v>516</v>
      </c>
      <c r="E621"/>
      <c r="F621" s="347">
        <f ca="1">ROUNDUP(IF(F585&gt;0,IF(SUM(E620:F620,E621:E621)*'B. Implementation Plan'!P198&gt;P620,0,-ROUND(SUM(E620:F620,E621:E621)*'B. Implementation Plan'!P198,0)),0),0)</f>
        <v>0</v>
      </c>
      <c r="G621" s="347">
        <f ca="1">ROUNDUP(IF(G585&gt;0,IF(SUM(E620:G620,E621:F621)*'B. Implementation Plan'!P198&gt;P620,0,-ROUND(SUM(E620:G620,E621:F621)*'B. Implementation Plan'!P198,0)),0),0)</f>
        <v>-1</v>
      </c>
      <c r="H621" s="347">
        <f ca="1">ROUNDUP(IF(H585&gt;0,IF(SUM(E620:H620,E621:G621)*'B. Implementation Plan'!P198&gt;P620,0,-ROUND(SUM(E620:H620,E621:G621)*'B. Implementation Plan'!P198,0)),0),0)</f>
        <v>-2</v>
      </c>
      <c r="I621" s="347">
        <f ca="1">ROUNDUP(IF(I585&gt;0,IF(SUM(E620:I620,E621:H621)*'B. Implementation Plan'!P198&gt;P620,0,-ROUND(SUM(E620:I620,E621:H621)*'B. Implementation Plan'!P198,0)),0),0)</f>
        <v>-3</v>
      </c>
      <c r="J621" s="347">
        <f ca="1">ROUNDUP(IF(J585&gt;0,IF(SUM(E620:J620,E621:I621)*'B. Implementation Plan'!P198&gt;P620,0,-ROUND(SUM(E620:J620,E621:I621)*'B. Implementation Plan'!P198,0)),0),0)</f>
        <v>-3</v>
      </c>
      <c r="K621" s="347">
        <f ca="1">ROUNDUP(IF(K585&gt;0,IF(SUM(E620:K620,E621:J621)*'B. Implementation Plan'!P198&gt;P620,0,-ROUND(SUM(E620:K620,E621:J621)*'B. Implementation Plan'!P198,0)),0),0)</f>
        <v>-4</v>
      </c>
      <c r="L621" s="347">
        <f ca="1">ROUNDUP(IF(L585&gt;0,IF(SUM(E620:L620,E621:K621)*'B. Implementation Plan'!P198&gt;P620,0,-ROUND(SUM(E620:L620,E621:K621)*'B. Implementation Plan'!P198,0)),0),0)</f>
        <v>-5</v>
      </c>
      <c r="M621" s="347">
        <f ca="1">ROUNDUP(IF(M585&gt;0,IF(SUM(E620:M620,E621:L621)*'B. Implementation Plan'!P198&gt;P620,0,-ROUND(SUM(E620:M620,E621:L621)*'B. Implementation Plan'!P198,0)),0),0)</f>
        <v>-6</v>
      </c>
      <c r="N621" s="347">
        <f ca="1">ROUNDUP(IF(N585&gt;0,IF(SUM(E620:N620,E621:M621)*'B. Implementation Plan'!P198&gt;P620,0,-ROUND(SUM(E620:N620,E621:M621)*'B. Implementation Plan'!P198,0)),0),0)</f>
        <v>-6</v>
      </c>
      <c r="O621" s="347">
        <f ca="1">ROUNDUP(IF(O585&gt;0,IF(SUM(E620:O620,E621:N621)*'B. Implementation Plan'!P198&gt;P620,0,-ROUND(SUM(E620:O620,E621:N621)*'B. Implementation Plan'!P198,0)),0),0)</f>
        <v>-7</v>
      </c>
      <c r="P621" s="354">
        <f ca="1">SUM(E621:O621)</f>
        <v>-37</v>
      </c>
    </row>
    <row r="622" spans="3:16" s="365" customFormat="1" ht="15" thickBot="1" x14ac:dyDescent="0.35">
      <c r="C622" s="326" t="s">
        <v>518</v>
      </c>
      <c r="E622"/>
      <c r="F622" s="347">
        <f ca="1">IF(F585&gt;0,SUM(E620:F621),0)</f>
        <v>0</v>
      </c>
      <c r="G622" s="347">
        <f ca="1">IF(G585&gt;0,SUM(E620:G621),0)</f>
        <v>9</v>
      </c>
      <c r="H622" s="347">
        <f ca="1">IF(H585&gt;0,SUM(E620:H621),0)</f>
        <v>17</v>
      </c>
      <c r="I622" s="347">
        <f ca="1">IF(I585&gt;0,SUM(E620:I621),0)</f>
        <v>24</v>
      </c>
      <c r="J622" s="347">
        <f ca="1">IF(J585&gt;0,SUM(E620:J621),0)</f>
        <v>31</v>
      </c>
      <c r="K622" s="347">
        <f ca="1">IF(K585&gt;0,SUM(E620:K621),0)</f>
        <v>37</v>
      </c>
      <c r="L622" s="347">
        <f ca="1">IF(L585&gt;0,SUM(E620:L621),0)</f>
        <v>44</v>
      </c>
      <c r="M622" s="347">
        <f ca="1">IF(M585&gt;0,SUM(E620:M621),0)</f>
        <v>50</v>
      </c>
      <c r="N622" s="347">
        <f ca="1">IF(N585&gt;0,SUM(E620:N621),0)</f>
        <v>56</v>
      </c>
      <c r="O622" s="369">
        <f ca="1">IF(O585&gt;0,SUM(E620:O621),0)</f>
        <v>61</v>
      </c>
      <c r="P622" s="375">
        <f t="shared" ref="P622" ca="1" si="403">IF(O622=0,IF(N622=0,IF(M622=0,IF(L622=0,IF(K622=0,IF(J622=0,IF(I622=0,IF(H622=0,IF(G622=0,IF(F622=0,E622,F622),G622),H622),I622),J622),K622),L622),M622),N622),O622)</f>
        <v>61</v>
      </c>
    </row>
    <row r="623" spans="3:16" ht="16.2" thickBot="1" x14ac:dyDescent="0.35">
      <c r="C623" s="16" t="s">
        <v>521</v>
      </c>
      <c r="E623" s="149">
        <v>0</v>
      </c>
      <c r="F623" s="149">
        <v>1</v>
      </c>
      <c r="G623" s="149">
        <v>2</v>
      </c>
      <c r="H623" s="149">
        <v>3</v>
      </c>
      <c r="I623" s="149">
        <v>4</v>
      </c>
      <c r="J623" s="149">
        <v>5</v>
      </c>
      <c r="K623" s="149">
        <v>6</v>
      </c>
      <c r="L623" s="149">
        <v>7</v>
      </c>
      <c r="M623" s="149">
        <v>8</v>
      </c>
      <c r="N623" s="149">
        <v>9</v>
      </c>
      <c r="O623" s="149">
        <v>10</v>
      </c>
      <c r="P623"/>
    </row>
    <row r="624" spans="3:16" s="1" customFormat="1" x14ac:dyDescent="0.3">
      <c r="C624" s="326" t="s">
        <v>527</v>
      </c>
      <c r="E624" s="372">
        <f ca="1">ROUNDUP(E587*'B. Implementation Plan'!F192+(E585-E587)*'B. Implementation Plan'!P199,0)</f>
        <v>409</v>
      </c>
      <c r="F624" s="372">
        <f ca="1">ROUNDUP(F587*'B. Implementation Plan'!F192+(F585-F587)*'B. Implementation Plan'!P199,0)</f>
        <v>418</v>
      </c>
      <c r="G624" s="372">
        <f ca="1">ROUNDUP(G587*'B. Implementation Plan'!F192+(G585-G587)*'B. Implementation Plan'!P199,0)</f>
        <v>427</v>
      </c>
      <c r="H624" s="372">
        <f ca="1">ROUNDUP(H587*'B. Implementation Plan'!F192+(H585-H587)*'B. Implementation Plan'!P199,0)</f>
        <v>437</v>
      </c>
      <c r="I624" s="372">
        <f ca="1">ROUNDUP(I587*'B. Implementation Plan'!F192+(I585-I587)*'B. Implementation Plan'!P199,0)</f>
        <v>446</v>
      </c>
      <c r="J624" s="372">
        <f ca="1">ROUNDUP(J587*'B. Implementation Plan'!F192+(J585-J587)*'B. Implementation Plan'!P199,0)</f>
        <v>456</v>
      </c>
      <c r="K624" s="372">
        <f ca="1">ROUNDUP(K587*'B. Implementation Plan'!F192+(K585-K587)*'B. Implementation Plan'!P199,0)</f>
        <v>465</v>
      </c>
      <c r="L624" s="372">
        <f ca="1">ROUNDUP(L587*'B. Implementation Plan'!F192+(L585-L587)*'B. Implementation Plan'!P199,0)</f>
        <v>474</v>
      </c>
      <c r="M624" s="372">
        <f ca="1">ROUNDUP(M587*'B. Implementation Plan'!F192+(M585-M587)*'B. Implementation Plan'!P199,0)</f>
        <v>484</v>
      </c>
      <c r="N624" s="372">
        <f ca="1">ROUNDUP(N587*'B. Implementation Plan'!F192+(N585-N587)*'B. Implementation Plan'!P199,0)</f>
        <v>494</v>
      </c>
      <c r="O624" s="372">
        <f ca="1">ROUNDUP(O587*'B. Implementation Plan'!F192+(O585-O587)*'B. Implementation Plan'!P199,0)</f>
        <v>504</v>
      </c>
      <c r="P624" s="379">
        <f t="shared" ref="P624:P625" ca="1" si="404">IF(O624=0,IF(N624=0,IF(M624=0,IF(L624=0,IF(K624=0,IF(J624=0,IF(I624=0,IF(H624=0,IF(G624=0,IF(F624=0,E624,F624),G624),H624),I624),J624),K624),L624),M624),N624),O624)</f>
        <v>504</v>
      </c>
    </row>
    <row r="625" spans="1:16" s="1" customFormat="1" x14ac:dyDescent="0.3">
      <c r="C625" s="326" t="s">
        <v>522</v>
      </c>
      <c r="E625" s="378">
        <f t="shared" ref="E625:O625" ca="1" si="405">IF(E585&gt;0,E624/E585,0)</f>
        <v>0.6607431340872375</v>
      </c>
      <c r="F625" s="378">
        <f t="shared" ca="1" si="405"/>
        <v>0.65826771653543303</v>
      </c>
      <c r="G625" s="378">
        <f t="shared" ca="1" si="405"/>
        <v>0.65692307692307694</v>
      </c>
      <c r="H625" s="378">
        <f t="shared" ca="1" si="405"/>
        <v>0.65615615615615619</v>
      </c>
      <c r="I625" s="378">
        <f t="shared" ca="1" si="405"/>
        <v>0.6539589442815249</v>
      </c>
      <c r="J625" s="378">
        <f t="shared" ca="1" si="405"/>
        <v>0.6542324246771879</v>
      </c>
      <c r="K625" s="378">
        <f t="shared" ca="1" si="405"/>
        <v>0.65217391304347827</v>
      </c>
      <c r="L625" s="378">
        <f t="shared" ca="1" si="405"/>
        <v>0.65109890109890112</v>
      </c>
      <c r="M625" s="378">
        <f t="shared" ca="1" si="405"/>
        <v>0.65053763440860213</v>
      </c>
      <c r="N625" s="378">
        <f t="shared" ca="1" si="405"/>
        <v>0.65</v>
      </c>
      <c r="O625" s="378">
        <f t="shared" ca="1" si="405"/>
        <v>0.65032258064516124</v>
      </c>
      <c r="P625" s="111">
        <f t="shared" ca="1" si="404"/>
        <v>0.65032258064516124</v>
      </c>
    </row>
    <row r="626" spans="1:16" s="365" customFormat="1" x14ac:dyDescent="0.3">
      <c r="C626" s="326" t="s">
        <v>523</v>
      </c>
      <c r="F626" s="372">
        <f t="shared" ref="F626:O626" ca="1" si="406">F603+F619</f>
        <v>87</v>
      </c>
      <c r="G626" s="372">
        <f t="shared" ca="1" si="406"/>
        <v>50</v>
      </c>
      <c r="H626" s="372">
        <f t="shared" ca="1" si="406"/>
        <v>17</v>
      </c>
      <c r="I626" s="372">
        <f t="shared" ca="1" si="406"/>
        <v>17</v>
      </c>
      <c r="J626" s="372">
        <f t="shared" ca="1" si="406"/>
        <v>17</v>
      </c>
      <c r="K626" s="372">
        <f t="shared" ca="1" si="406"/>
        <v>18</v>
      </c>
      <c r="L626" s="372">
        <f t="shared" ca="1" si="406"/>
        <v>19</v>
      </c>
      <c r="M626" s="372">
        <f t="shared" ca="1" si="406"/>
        <v>19</v>
      </c>
      <c r="N626" s="372">
        <f t="shared" ca="1" si="406"/>
        <v>19</v>
      </c>
      <c r="O626" s="372">
        <f t="shared" ca="1" si="406"/>
        <v>19</v>
      </c>
      <c r="P626" s="354">
        <f ca="1">MAX(F626:O626)</f>
        <v>87</v>
      </c>
    </row>
    <row r="627" spans="1:16" s="1" customFormat="1" x14ac:dyDescent="0.3">
      <c r="C627" s="326" t="s">
        <v>558</v>
      </c>
      <c r="F627" s="371">
        <f ca="1">F606+F622</f>
        <v>0</v>
      </c>
      <c r="G627" s="371">
        <f t="shared" ref="G627:O627" ca="1" si="407">G606+G622</f>
        <v>70</v>
      </c>
      <c r="H627" s="371">
        <f t="shared" ca="1" si="407"/>
        <v>72</v>
      </c>
      <c r="I627" s="371">
        <f t="shared" ca="1" si="407"/>
        <v>73</v>
      </c>
      <c r="J627" s="371">
        <f t="shared" ca="1" si="407"/>
        <v>75</v>
      </c>
      <c r="K627" s="371">
        <f t="shared" ca="1" si="407"/>
        <v>77</v>
      </c>
      <c r="L627" s="371">
        <f t="shared" ca="1" si="407"/>
        <v>80</v>
      </c>
      <c r="M627" s="371">
        <f t="shared" ca="1" si="407"/>
        <v>82</v>
      </c>
      <c r="N627" s="371">
        <f t="shared" ca="1" si="407"/>
        <v>85</v>
      </c>
      <c r="O627" s="371">
        <f t="shared" ca="1" si="407"/>
        <v>87</v>
      </c>
      <c r="P627" s="354">
        <f t="shared" ref="P627" ca="1" si="408">IF(O627=0,IF(N627=0,IF(M627=0,IF(L627=0,IF(K627=0,IF(J627=0,IF(I627=0,IF(H627=0,IF(G627=0,IF(F627=0,E627,F627),G627),H627),I627),J627),K627),L627),M627),N627),O627)</f>
        <v>87</v>
      </c>
    </row>
    <row r="628" spans="1:16" s="1" customFormat="1" ht="15" thickBot="1" x14ac:dyDescent="0.35">
      <c r="C628" s="353" t="s">
        <v>524</v>
      </c>
      <c r="E628" s="373">
        <f t="shared" ref="E628:O628" ca="1" si="409">IFERROR((E624+E627)/E585,0)</f>
        <v>0.6607431340872375</v>
      </c>
      <c r="F628" s="373">
        <f t="shared" ca="1" si="409"/>
        <v>0.65826771653543303</v>
      </c>
      <c r="G628" s="373">
        <f t="shared" ca="1" si="409"/>
        <v>0.76461538461538459</v>
      </c>
      <c r="H628" s="373">
        <f t="shared" ca="1" si="409"/>
        <v>0.7642642642642643</v>
      </c>
      <c r="I628" s="373">
        <f t="shared" ca="1" si="409"/>
        <v>0.76099706744868034</v>
      </c>
      <c r="J628" s="373">
        <f t="shared" ca="1" si="409"/>
        <v>0.76183644189383071</v>
      </c>
      <c r="K628" s="373">
        <f t="shared" ca="1" si="409"/>
        <v>0.76016830294530158</v>
      </c>
      <c r="L628" s="373">
        <f t="shared" ca="1" si="409"/>
        <v>0.76098901098901095</v>
      </c>
      <c r="M628" s="373">
        <f t="shared" ca="1" si="409"/>
        <v>0.760752688172043</v>
      </c>
      <c r="N628" s="373">
        <f t="shared" ca="1" si="409"/>
        <v>0.76184210526315788</v>
      </c>
      <c r="O628" s="373">
        <f t="shared" ca="1" si="409"/>
        <v>0.76258064516129032</v>
      </c>
      <c r="P628" s="190">
        <f t="shared" ref="P628" ca="1" si="410">IF(O628=0,IF(N628=0,IF(M628=0,IF(L628=0,IF(K628=0,IF(J628=0,IF(I628=0,IF(H628=0,IF(G628=0,IF(F628=0,E628,F628),G628),H628),I628),J628),K628),L628),M628),N628),O628)</f>
        <v>0.76258064516129032</v>
      </c>
    </row>
    <row r="630" spans="1:16" ht="15" thickBot="1" x14ac:dyDescent="0.35"/>
    <row r="631" spans="1:16" s="67" customFormat="1" ht="15.6" x14ac:dyDescent="0.3">
      <c r="A631" s="62"/>
      <c r="B631" s="62" t="s">
        <v>538</v>
      </c>
      <c r="D631" s="65"/>
      <c r="E631" s="66">
        <v>0</v>
      </c>
      <c r="F631" s="66">
        <v>1</v>
      </c>
      <c r="G631" s="66">
        <v>2</v>
      </c>
      <c r="H631" s="66">
        <v>3</v>
      </c>
      <c r="I631" s="66">
        <v>4</v>
      </c>
      <c r="J631" s="66">
        <v>5</v>
      </c>
      <c r="K631" s="66">
        <v>6</v>
      </c>
      <c r="L631" s="66">
        <v>7</v>
      </c>
      <c r="M631" s="66">
        <v>8</v>
      </c>
      <c r="N631" s="66">
        <v>9</v>
      </c>
      <c r="O631" s="213">
        <v>10</v>
      </c>
      <c r="P631" s="351" t="s">
        <v>2</v>
      </c>
    </row>
    <row r="632" spans="1:16" x14ac:dyDescent="0.3">
      <c r="A632" s="1"/>
      <c r="B632" s="1"/>
      <c r="C632" s="326" t="s">
        <v>502</v>
      </c>
      <c r="D632" s="368"/>
      <c r="E632" s="15">
        <f ca="1">E126</f>
        <v>0</v>
      </c>
      <c r="F632" s="15">
        <f t="shared" ref="F632:O632" ca="1" si="411">F126</f>
        <v>0</v>
      </c>
      <c r="G632" s="15">
        <f t="shared" ca="1" si="411"/>
        <v>0</v>
      </c>
      <c r="H632" s="15">
        <f t="shared" ca="1" si="411"/>
        <v>0</v>
      </c>
      <c r="I632" s="15">
        <f t="shared" ca="1" si="411"/>
        <v>0</v>
      </c>
      <c r="J632" s="15">
        <f t="shared" ca="1" si="411"/>
        <v>0</v>
      </c>
      <c r="K632" s="15">
        <f t="shared" ca="1" si="411"/>
        <v>0</v>
      </c>
      <c r="L632" s="15">
        <f t="shared" ca="1" si="411"/>
        <v>0</v>
      </c>
      <c r="M632" s="15">
        <f t="shared" ca="1" si="411"/>
        <v>0</v>
      </c>
      <c r="N632" s="15">
        <f t="shared" ca="1" si="411"/>
        <v>0</v>
      </c>
      <c r="O632" s="15">
        <f t="shared" ca="1" si="411"/>
        <v>0</v>
      </c>
      <c r="P632" s="78">
        <f ca="1">IF(O632=0,IF(N632=0,IF(M632=0,IF(L632=0,IF(K632=0,IF(J632=0,IF(I632=0,IF(H632=0,IF(G632=0,IF(F632=0,E632,F632),G632),H632),I632),J632),K632),L632),M632),N632),O632)</f>
        <v>0</v>
      </c>
    </row>
    <row r="633" spans="1:16" x14ac:dyDescent="0.3">
      <c r="A633" s="1"/>
      <c r="B633" s="1"/>
      <c r="C633" s="326" t="s">
        <v>503</v>
      </c>
      <c r="D633" s="296"/>
      <c r="E633" s="15">
        <f ca="1">IF(E632&gt;0,'B. Implementation Plan'!G191,0)</f>
        <v>0</v>
      </c>
      <c r="F633" s="15">
        <f ca="1">IF(F632&gt;0,'B. Implementation Plan'!G191,0)</f>
        <v>0</v>
      </c>
      <c r="G633" s="15">
        <f ca="1">IF(G632&gt;0,'B. Implementation Plan'!G191,0)</f>
        <v>0</v>
      </c>
      <c r="H633" s="15">
        <f ca="1">IF(H632&gt;0,'B. Implementation Plan'!G191,0)</f>
        <v>0</v>
      </c>
      <c r="I633" s="15">
        <f ca="1">IF(I632&gt;0,'B. Implementation Plan'!G191,0)</f>
        <v>0</v>
      </c>
      <c r="J633" s="15">
        <f ca="1">IF(J632&gt;0,'B. Implementation Plan'!G191,0)</f>
        <v>0</v>
      </c>
      <c r="K633" s="15">
        <f ca="1">IF(K632&gt;0,'B. Implementation Plan'!G191,0)</f>
        <v>0</v>
      </c>
      <c r="L633" s="15">
        <f ca="1">IF(L632&gt;0,'B. Implementation Plan'!G191,0)</f>
        <v>0</v>
      </c>
      <c r="M633" s="15">
        <f ca="1">IF(M632&gt;0,'B. Implementation Plan'!G191,0)</f>
        <v>0</v>
      </c>
      <c r="N633" s="15">
        <f ca="1">IF(N632&gt;0,'B. Implementation Plan'!G191,0)</f>
        <v>0</v>
      </c>
      <c r="O633" s="15">
        <f ca="1">IF(O632&gt;0,'B. Implementation Plan'!G191,0)</f>
        <v>0</v>
      </c>
      <c r="P633" s="78">
        <f ca="1">IF(O633=0,IF(N633=0,IF(M633=0,IF(L633=0,IF(K633=0,IF(J633=0,IF(I633=0,IF(H633=0,IF(G633=0,IF(F633=0,E633,F633),G633),H633),I633),J633),K633),L633),M633),N633),O633)</f>
        <v>0</v>
      </c>
    </row>
    <row r="634" spans="1:16" x14ac:dyDescent="0.3">
      <c r="C634" s="59" t="s">
        <v>504</v>
      </c>
      <c r="E634" s="324">
        <f ca="1">IF(E632&gt;0,ROUND('B. Implementation Plan'!G191*(1-'B. Implementation Plan'!P198)^E631,0),0)</f>
        <v>0</v>
      </c>
      <c r="F634" s="324">
        <f ca="1">IF(F632&gt;0,ROUND('B. Implementation Plan'!G191*(1-'B. Implementation Plan'!P198)^F631,0),0)</f>
        <v>0</v>
      </c>
      <c r="G634" s="324">
        <f ca="1">IF(G632&gt;0,ROUND('B. Implementation Plan'!G191*(1-'B. Implementation Plan'!P198)^G631,0),0)</f>
        <v>0</v>
      </c>
      <c r="H634" s="324">
        <f ca="1">IF(H632&gt;0,ROUND('B. Implementation Plan'!G191*(1-'B. Implementation Plan'!P198)^H631,0),0)</f>
        <v>0</v>
      </c>
      <c r="I634" s="324">
        <f ca="1">IF(I632&gt;0,ROUND('B. Implementation Plan'!G191*(1-'B. Implementation Plan'!P198)^I631,0),0)</f>
        <v>0</v>
      </c>
      <c r="J634" s="324">
        <f ca="1">IF(J632&gt;0,ROUND('B. Implementation Plan'!G191*(1-'B. Implementation Plan'!P198)^J631,0),0)</f>
        <v>0</v>
      </c>
      <c r="K634" s="324">
        <f ca="1">IF(K632&gt;0,ROUND('B. Implementation Plan'!G191*(1-'B. Implementation Plan'!P198)^K631,0),0)</f>
        <v>0</v>
      </c>
      <c r="L634" s="324">
        <f ca="1">IF(L632&gt;0,ROUND('B. Implementation Plan'!G191*(1-'B. Implementation Plan'!P198)^L631,0),0)</f>
        <v>0</v>
      </c>
      <c r="M634" s="324">
        <f ca="1">IF(M632&gt;0,ROUND('B. Implementation Plan'!G191*(1-'B. Implementation Plan'!P198)^M631,0),0)</f>
        <v>0</v>
      </c>
      <c r="N634" s="324">
        <f ca="1">IF(N632&gt;0,ROUND('B. Implementation Plan'!G191*(1-'B. Implementation Plan'!P198)^N631,0),0)</f>
        <v>0</v>
      </c>
      <c r="O634" s="324">
        <f ca="1">IF(O632&gt;0,ROUND('B. Implementation Plan'!G191*(1-'B. Implementation Plan'!P198)^O631,0),0)</f>
        <v>0</v>
      </c>
      <c r="P634" s="78">
        <f ca="1">IF(O634=0,IF(N634=0,IF(M634=0,IF(L634=0,IF(K634=0,IF(J634=0,IF(I634=0,IF(H634=0,IF(G634=0,IF(F634=0,E634,F634),G634),H634),I634),J634),K634),L634),M634),N634),O634)</f>
        <v>0</v>
      </c>
    </row>
    <row r="635" spans="1:16" s="1" customFormat="1" x14ac:dyDescent="0.3">
      <c r="C635" s="59" t="s">
        <v>505</v>
      </c>
      <c r="E635" s="380"/>
      <c r="F635" s="324">
        <f ca="1">IF('B. Implementation Plan'!P197=0,0,IF(F631&lt;=ROUNDUP(1/'B. Implementation Plan'!P197,0),ROUND(IF(AND(F631-1/'B. Implementation Plan'!P197&lt;1,F631-1/'B. Implementation Plan'!P197&gt;0),F634*MOD(1/'B. Implementation Plan'!P197,1)/(1/'B. Implementation Plan'!P197),MIN(F634-SUM(E635:E635),F634*'B. Implementation Plan'!P197)*(1-'B. Implementation Plan'!G192)*'B. Implementation Plan'!G194),0),0))</f>
        <v>0</v>
      </c>
      <c r="G635" s="324">
        <f>IF('B. Implementation Plan'!P197=0,0,IF(G631&lt;=ROUNDUP(1/'B. Implementation Plan'!P197,0),ROUND(IF(AND(G631-1/'B. Implementation Plan'!P197&lt;1,G631-1/'B. Implementation Plan'!P197&gt;0),G634*MOD(1/'B. Implementation Plan'!P197,1)/(1/'B. Implementation Plan'!P197),MIN(G634-SUM(E635:F635),G634*'B. Implementation Plan'!P197)*(1-'B. Implementation Plan'!G192)*'B. Implementation Plan'!G194),0),0))</f>
        <v>0</v>
      </c>
      <c r="H635" s="324">
        <f>IF('B. Implementation Plan'!P197=0,0,IF(H631&lt;=ROUNDUP(1/'B. Implementation Plan'!P197,0),ROUND(IF(AND(H631-1/'B. Implementation Plan'!P197&lt;1,H631-1/'B. Implementation Plan'!P197&gt;0),H634*MOD(1/'B. Implementation Plan'!P197,1)/(1/'B. Implementation Plan'!P197),MIN(H634-SUM(E635:G635),H634*'B. Implementation Plan'!P197)*(1-'B. Implementation Plan'!G192)*'B. Implementation Plan'!G194),0),0))</f>
        <v>0</v>
      </c>
      <c r="I635" s="324">
        <f>IF('B. Implementation Plan'!P197=0,0,IF(I631&lt;=ROUNDUP(1/'B. Implementation Plan'!P197,0),ROUND(IF(AND(I631-1/'B. Implementation Plan'!P197&lt;1,I631-1/'B. Implementation Plan'!P197&gt;0),I634*MOD(1/'B. Implementation Plan'!P197,1)/(1/'B. Implementation Plan'!P197),MIN(I634-SUM(E635:H635),I634*'B. Implementation Plan'!P197)*(1-'B. Implementation Plan'!G192)*'B. Implementation Plan'!G194),0),0))</f>
        <v>0</v>
      </c>
      <c r="J635" s="324">
        <f>IF('B. Implementation Plan'!P197=0,0,IF(J631&lt;=ROUNDUP(1/'B. Implementation Plan'!P197,0),ROUND(IF(AND(J631-1/'B. Implementation Plan'!P197&lt;1,J631-1/'B. Implementation Plan'!P197&gt;0),J634*MOD(1/'B. Implementation Plan'!P197,1)/(1/'B. Implementation Plan'!P197),MIN(J634-SUM(E635:I635),J634*'B. Implementation Plan'!P197)*(1-'B. Implementation Plan'!G192)*'B. Implementation Plan'!G194),0),0))</f>
        <v>0</v>
      </c>
      <c r="K635" s="324">
        <f>IF('B. Implementation Plan'!P197=0,0,IF(K631&lt;=ROUNDUP(1/'B. Implementation Plan'!P197,0),ROUND(IF(AND(K631-1/'B. Implementation Plan'!P197&lt;1,K631-1/'B. Implementation Plan'!P197&gt;0),K634*MOD(1/'B. Implementation Plan'!P197,1)/(1/'B. Implementation Plan'!P197),MIN(K634-SUM(E635:J635),K634*'B. Implementation Plan'!P197)*(1-'B. Implementation Plan'!G192)*'B. Implementation Plan'!G194),0),0))</f>
        <v>0</v>
      </c>
      <c r="L635" s="324">
        <f>IF('B. Implementation Plan'!P197=0,0,IF(L631&lt;=ROUNDUP(1/'B. Implementation Plan'!P197,0),ROUND(IF(AND(L631-1/'B. Implementation Plan'!P197&lt;1,L631-1/'B. Implementation Plan'!P197&gt;0),L634*MOD(1/'B. Implementation Plan'!P197,1)/(1/'B. Implementation Plan'!P197),MIN(L634-SUM(E635:K635),L634*'B. Implementation Plan'!P197)*(1-'B. Implementation Plan'!G192)*'B. Implementation Plan'!G194),0),0))</f>
        <v>0</v>
      </c>
      <c r="M635" s="324">
        <f>IF('B. Implementation Plan'!P197=0,0,IF(M631&lt;=ROUNDUP(1/'B. Implementation Plan'!P197,0),ROUND(IF(AND(M631-1/'B. Implementation Plan'!P197&lt;1,M631-1/'B. Implementation Plan'!P197&gt;0),M634*MOD(1/'B. Implementation Plan'!P197,1)/(1/'B. Implementation Plan'!P197),MIN(M634-SUM(E635:L635),M634*'B. Implementation Plan'!P197)*(1-'B. Implementation Plan'!G192)*'B. Implementation Plan'!G194),0),0))</f>
        <v>0</v>
      </c>
      <c r="N635" s="324">
        <f>IF('B. Implementation Plan'!P197=0,0,IF(N631&lt;=ROUNDUP(1/'B. Implementation Plan'!P197,0),ROUND(IF(AND(N631-1/'B. Implementation Plan'!P197&lt;1,N631-1/'B. Implementation Plan'!P197&gt;0),N634*MOD(1/'B. Implementation Plan'!P197,1)/(1/'B. Implementation Plan'!P197),MIN(N634-SUM(E635:M635),N634*'B. Implementation Plan'!P197)*(1-'B. Implementation Plan'!G192)*'B. Implementation Plan'!G194),0),0))</f>
        <v>0</v>
      </c>
      <c r="O635" s="324">
        <f>IF('B. Implementation Plan'!P197=0,0,IF(O631&lt;=ROUNDUP(1/'B. Implementation Plan'!P197,0),ROUND(IF(AND(O631-1/'B. Implementation Plan'!P197&lt;1,O631-1/'B. Implementation Plan'!P197&gt;0),O634*MOD(1/'B. Implementation Plan'!P197,1)/(1/'B. Implementation Plan'!P197),MIN(O634-SUM(E635:N635),O634*'B. Implementation Plan'!P197)*(1-'B. Implementation Plan'!G192)*'B. Implementation Plan'!G194),0),0))</f>
        <v>0</v>
      </c>
      <c r="P635" s="325">
        <f ca="1">SUM(E635:O635)</f>
        <v>0</v>
      </c>
    </row>
    <row r="636" spans="1:16" x14ac:dyDescent="0.3">
      <c r="C636" s="326" t="s">
        <v>506</v>
      </c>
      <c r="E636" s="15">
        <f t="shared" ref="E636:O636" ca="1" si="412">MAX(E632-E634,0)</f>
        <v>0</v>
      </c>
      <c r="F636" s="15">
        <f t="shared" ca="1" si="412"/>
        <v>0</v>
      </c>
      <c r="G636" s="15">
        <f t="shared" ca="1" si="412"/>
        <v>0</v>
      </c>
      <c r="H636" s="15">
        <f t="shared" ca="1" si="412"/>
        <v>0</v>
      </c>
      <c r="I636" s="15">
        <f t="shared" ca="1" si="412"/>
        <v>0</v>
      </c>
      <c r="J636" s="15">
        <f t="shared" ca="1" si="412"/>
        <v>0</v>
      </c>
      <c r="K636" s="15">
        <f t="shared" ca="1" si="412"/>
        <v>0</v>
      </c>
      <c r="L636" s="15">
        <f t="shared" ca="1" si="412"/>
        <v>0</v>
      </c>
      <c r="M636" s="15">
        <f t="shared" ca="1" si="412"/>
        <v>0</v>
      </c>
      <c r="N636" s="15">
        <f t="shared" ca="1" si="412"/>
        <v>0</v>
      </c>
      <c r="O636" s="366">
        <f t="shared" ca="1" si="412"/>
        <v>0</v>
      </c>
      <c r="P636" s="354">
        <f ca="1">IF(O636=0,IF(N636=0,IF(M636=0,IF(L636=0,IF(K636=0,IF(J636=0,IF(I636=0,IF(H636=0,IF(G636=0,IF(F636=0,E636,F636),G636),H636),I636),J636),K636),L636),M636),N636),O636)</f>
        <v>0</v>
      </c>
    </row>
    <row r="637" spans="1:16" ht="15" thickBot="1" x14ac:dyDescent="0.35">
      <c r="C637" s="59" t="s">
        <v>507</v>
      </c>
      <c r="E637" s="324">
        <f ca="1">IF(E632&gt;0,E636-D636+ROUND(D636*'B. Implementation Plan'!P198,0),0)</f>
        <v>0</v>
      </c>
      <c r="F637" s="324">
        <f ca="1">IF(F632&gt;0,F636-E636+ROUND(E636*'B. Implementation Plan'!P198,0),0)</f>
        <v>0</v>
      </c>
      <c r="G637" s="324">
        <f ca="1">IF(G632&gt;0,G636-F636+ROUND(F636*'B. Implementation Plan'!P198,0),0)</f>
        <v>0</v>
      </c>
      <c r="H637" s="324">
        <f ca="1">IF(H632&gt;0,H636-G636+ROUND(G636*'B. Implementation Plan'!P198,0),0)</f>
        <v>0</v>
      </c>
      <c r="I637" s="324">
        <f ca="1">IF(I632&gt;0,I636-H636+ROUND(H636*'B. Implementation Plan'!P198,0),0)</f>
        <v>0</v>
      </c>
      <c r="J637" s="324">
        <f ca="1">IF(J632&gt;0,J636-I636+ROUND(I636*'B. Implementation Plan'!P198,0),0)</f>
        <v>0</v>
      </c>
      <c r="K637" s="324">
        <f ca="1">IF(K632&gt;0,K636-J636+ROUND(J636*'B. Implementation Plan'!P198,0),0)</f>
        <v>0</v>
      </c>
      <c r="L637" s="324">
        <f ca="1">IF(L632&gt;0,L636-K636+ROUND(K636*'B. Implementation Plan'!P198,0),0)</f>
        <v>0</v>
      </c>
      <c r="M637" s="324">
        <f ca="1">IF(M632&gt;0,M636-L636+ROUND(L636*'B. Implementation Plan'!P198,0),0)</f>
        <v>0</v>
      </c>
      <c r="N637" s="324">
        <f ca="1">IF(N632&gt;0,N636-M636+ROUND(M636*'B. Implementation Plan'!P198,0),0)</f>
        <v>0</v>
      </c>
      <c r="O637" s="367">
        <f ca="1">IF(O632&gt;0,O636-N636+ROUND(N636*'B. Implementation Plan'!P198,0),0)</f>
        <v>0</v>
      </c>
      <c r="P637" s="79">
        <f ca="1">IF(O637=0,IF(N637=0,IF(M637=0,IF(L637=0,IF(K637=0,IF(J637=0,IF(I637=0,IF(H637=0,IF(G637=0,IF(F637=0,E637,F637),G637),H637),I637),J637),K637),L637),M637),N637),O637)</f>
        <v>0</v>
      </c>
    </row>
    <row r="638" spans="1:16" ht="15" thickBot="1" x14ac:dyDescent="0.35">
      <c r="C638" s="59" t="s">
        <v>508</v>
      </c>
    </row>
    <row r="639" spans="1:16" ht="15.6" x14ac:dyDescent="0.3">
      <c r="C639" s="326" t="s">
        <v>509</v>
      </c>
      <c r="F639" s="149">
        <v>1</v>
      </c>
      <c r="G639" s="149">
        <v>2</v>
      </c>
      <c r="H639" s="149">
        <v>3</v>
      </c>
      <c r="I639" s="149">
        <v>4</v>
      </c>
      <c r="J639" s="149">
        <v>5</v>
      </c>
      <c r="K639" s="149">
        <v>6</v>
      </c>
      <c r="L639" s="149">
        <v>7</v>
      </c>
      <c r="M639" s="149">
        <v>8</v>
      </c>
      <c r="N639" s="149">
        <v>9</v>
      </c>
      <c r="O639" s="374">
        <v>10</v>
      </c>
      <c r="P639" s="351" t="s">
        <v>2</v>
      </c>
    </row>
    <row r="640" spans="1:16" s="365" customFormat="1" x14ac:dyDescent="0.3">
      <c r="C640" s="370">
        <v>1</v>
      </c>
      <c r="E640"/>
      <c r="F640" s="347">
        <f ca="1">IF($C640&lt;=ROUNDUP('B. Implementation Plan'!P201,0),ROUND(IF(AND($C640-'B. Implementation Plan'!P201&lt;1,$C640-'B. Implementation Plan'!P201&gt;0),MOD('B. Implementation Plan'!P201,1)*F635*1*(1-'B. Implementation Plan'!P198)^($C640-1),F635*1*(1-'B. Implementation Plan'!P198)^($C640-1)),0),0)</f>
        <v>0</v>
      </c>
      <c r="G640" s="347">
        <f>IF($C640&lt;=ROUNDUP('B. Implementation Plan'!P201,0),ROUND(IF(AND($C640-'B. Implementation Plan'!P201&lt;1,$C640-'B. Implementation Plan'!P201&gt;0),MOD('B. Implementation Plan'!P201,1)*G635*1*(1-'B. Implementation Plan'!P198)^($C640-1),G635*1*(1-'B. Implementation Plan'!P198)^($C640-1)),0),0)</f>
        <v>0</v>
      </c>
      <c r="H640" s="347">
        <f>IF($C640&lt;=ROUNDUP('B. Implementation Plan'!P201,0),ROUND(IF(AND($C640-'B. Implementation Plan'!P201&lt;1,$C640-'B. Implementation Plan'!P201&gt;0),MOD('B. Implementation Plan'!P201,1)*H635*1*(1-'B. Implementation Plan'!P198)^($C640-1),H635*1*(1-'B. Implementation Plan'!P198)^($C640-1)),0),0)</f>
        <v>0</v>
      </c>
      <c r="I640" s="347">
        <f>IF($C640&lt;=ROUNDUP('B. Implementation Plan'!P201,0),ROUND(IF(AND($C640-'B. Implementation Plan'!P201&lt;1,$C640-'B. Implementation Plan'!P201&gt;0),MOD('B. Implementation Plan'!P201,1)*I635*1*(1-'B. Implementation Plan'!P198)^($C640-1),I635*1*(1-'B. Implementation Plan'!P198)^($C640-1)),0),0)</f>
        <v>0</v>
      </c>
      <c r="J640" s="347">
        <f>IF($C640&lt;=ROUNDUP('B. Implementation Plan'!P201,0),ROUND(IF(AND($C640-'B. Implementation Plan'!P201&lt;1,$C640-'B. Implementation Plan'!P201&gt;0),MOD('B. Implementation Plan'!P201,1)*J635*1*(1-'B. Implementation Plan'!P198)^($C640-1),J635*1*(1-'B. Implementation Plan'!P198)^($C640-1)),0),0)</f>
        <v>0</v>
      </c>
      <c r="K640" s="347">
        <f>IF($C640&lt;=ROUNDUP('B. Implementation Plan'!P201,0),ROUND(IF(AND($C640-'B. Implementation Plan'!P201&lt;1,$C640-'B. Implementation Plan'!P201&gt;0),MOD('B. Implementation Plan'!P201,1)*K635*1*(1-'B. Implementation Plan'!P198)^($C640-1),K635*1*(1-'B. Implementation Plan'!P198)^($C640-1)),0),0)</f>
        <v>0</v>
      </c>
      <c r="L640" s="347">
        <f>IF($C640&lt;=ROUNDUP('B. Implementation Plan'!P201,0),ROUND(IF(AND($C640-'B. Implementation Plan'!P201&lt;1,$C640-'B. Implementation Plan'!P201&gt;0),MOD('B. Implementation Plan'!P201,1)*L635*1*(1-'B. Implementation Plan'!P198)^($C640-1),L635*1*(1-'B. Implementation Plan'!P198)^($C640-1)),0),0)</f>
        <v>0</v>
      </c>
      <c r="M640" s="347">
        <f>IF($C640&lt;=ROUNDUP('B. Implementation Plan'!P201,0),ROUND(IF(AND($C640-'B. Implementation Plan'!P201&lt;1,$C640-'B. Implementation Plan'!P201&gt;0),MOD('B. Implementation Plan'!P201,1)*M635*1*(1-'B. Implementation Plan'!P198)^($C640-1),M635*1*(1-'B. Implementation Plan'!P198)^($C640-1)),0),0)</f>
        <v>0</v>
      </c>
      <c r="N640" s="347">
        <f>IF($C640&lt;=ROUNDUP('B. Implementation Plan'!P201,0),ROUND(IF(AND($C640-'B. Implementation Plan'!P201&lt;1,$C640-'B. Implementation Plan'!P201&gt;0),MOD('B. Implementation Plan'!P201,1)*N635*1*(1-'B. Implementation Plan'!P198)^($C640-1),N635*1*(1-'B. Implementation Plan'!P198)^($C640-1)),0),0)</f>
        <v>0</v>
      </c>
      <c r="O640" s="347">
        <f>IF($C640&lt;=ROUNDUP('B. Implementation Plan'!P201,0),ROUND(IF(AND($C640-'B. Implementation Plan'!P201&lt;1,$C640-'B. Implementation Plan'!P201&gt;0),MOD('B. Implementation Plan'!P201,1)*O635*1*(1-'B. Implementation Plan'!P198)^($C640-1),O635*1*(1-'B. Implementation Plan'!P198)^($C640-1)),0),0)</f>
        <v>0</v>
      </c>
      <c r="P640" s="78" t="str">
        <f ca="1">IF(SUM(F640:O640)&gt;0,SUM(F640:O640),"")</f>
        <v/>
      </c>
    </row>
    <row r="641" spans="3:16" s="365" customFormat="1" x14ac:dyDescent="0.3">
      <c r="C641" s="370">
        <v>2</v>
      </c>
      <c r="E641"/>
      <c r="F641"/>
      <c r="G641" s="347">
        <f ca="1">IF($C641&lt;=ROUNDUP('B. Implementation Plan'!P201,0),ROUND(IF(AND($C641-'B. Implementation Plan'!P201&lt;1,$C641-'B. Implementation Plan'!P201&gt;0),MOD('B. Implementation Plan'!P201,1)*F635*1*(1-'B. Implementation Plan'!P198)^($C641-1),F635*1*(1-'B. Implementation Plan'!P198)^($C641-1)),0),0)</f>
        <v>0</v>
      </c>
      <c r="H641" s="347">
        <f>IF($C641&lt;=ROUNDUP('B. Implementation Plan'!P201,0),ROUND(IF(AND($C641-'B. Implementation Plan'!P201&lt;1,$C641-'B. Implementation Plan'!P201&gt;0),MOD('B. Implementation Plan'!P201,1)*G635*1*(1-'B. Implementation Plan'!P198)^($C641-1),G635*1*(1-'B. Implementation Plan'!P198)^($C641-1)),0),0)</f>
        <v>0</v>
      </c>
      <c r="I641" s="347">
        <f>IF($C641&lt;=ROUNDUP('B. Implementation Plan'!P201,0),ROUND(IF(AND($C641-'B. Implementation Plan'!P201&lt;1,$C641-'B. Implementation Plan'!P201&gt;0),MOD('B. Implementation Plan'!P201,1)*H635*1*(1-'B. Implementation Plan'!P198)^($C641-1),H635*1*(1-'B. Implementation Plan'!P198)^($C641-1)),0),0)</f>
        <v>0</v>
      </c>
      <c r="J641" s="347">
        <f>IF($C641&lt;=ROUNDUP('B. Implementation Plan'!P201,0),ROUND(IF(AND($C641-'B. Implementation Plan'!P201&lt;1,$C641-'B. Implementation Plan'!P201&gt;0),MOD('B. Implementation Plan'!P201,1)*I635*1*(1-'B. Implementation Plan'!P198)^($C641-1),I635*1*(1-'B. Implementation Plan'!P198)^($C641-1)),0),0)</f>
        <v>0</v>
      </c>
      <c r="K641" s="347">
        <f>IF($C641&lt;=ROUNDUP('B. Implementation Plan'!P201,0),ROUND(IF(AND($C641-'B. Implementation Plan'!P201&lt;1,$C641-'B. Implementation Plan'!P201&gt;0),MOD('B. Implementation Plan'!P201,1)*J635*1*(1-'B. Implementation Plan'!P198)^($C641-1),J635*1*(1-'B. Implementation Plan'!P198)^($C641-1)),0),0)</f>
        <v>0</v>
      </c>
      <c r="L641" s="347">
        <f>IF($C641&lt;=ROUNDUP('B. Implementation Plan'!P201,0),ROUND(IF(AND($C641-'B. Implementation Plan'!P201&lt;1,$C641-'B. Implementation Plan'!P201&gt;0),MOD('B. Implementation Plan'!P201,1)*K635*1*(1-'B. Implementation Plan'!P198)^($C641-1),K635*1*(1-'B. Implementation Plan'!P198)^($C641-1)),0),0)</f>
        <v>0</v>
      </c>
      <c r="M641" s="347">
        <f>IF($C641&lt;=ROUNDUP('B. Implementation Plan'!P201,0),ROUND(IF(AND($C641-'B. Implementation Plan'!P201&lt;1,$C641-'B. Implementation Plan'!P201&gt;0),MOD('B. Implementation Plan'!P201,1)*L635*1*(1-'B. Implementation Plan'!P198)^($C641-1),L635*1*(1-'B. Implementation Plan'!P198)^($C641-1)),0),0)</f>
        <v>0</v>
      </c>
      <c r="N641" s="347">
        <f>IF($C641&lt;=ROUNDUP('B. Implementation Plan'!P201,0),ROUND(IF(AND($C641-'B. Implementation Plan'!P201&lt;1,$C641-'B. Implementation Plan'!P201&gt;0),MOD('B. Implementation Plan'!P201,1)*M635*1*(1-'B. Implementation Plan'!P198)^($C641-1),M635*1*(1-'B. Implementation Plan'!P198)^($C641-1)),0),0)</f>
        <v>0</v>
      </c>
      <c r="O641" s="347">
        <f>IF($C641&lt;=ROUNDUP('B. Implementation Plan'!P201,0),ROUND(IF(AND($C641-'B. Implementation Plan'!P201&lt;1,$C641-'B. Implementation Plan'!P201&gt;0),MOD('B. Implementation Plan'!P201,1)*N635*1*(1-'B. Implementation Plan'!P198)^($C641-1),N635*1*(1-'B. Implementation Plan'!P198)^($C641-1)),0),0)</f>
        <v>0</v>
      </c>
      <c r="P641" s="78" t="str">
        <f t="shared" ref="P641:P649" ca="1" si="413">IF(SUM(F641:O641)&gt;0,SUM(F641:O641),"")</f>
        <v/>
      </c>
    </row>
    <row r="642" spans="3:16" s="365" customFormat="1" x14ac:dyDescent="0.3">
      <c r="C642" s="370">
        <v>3</v>
      </c>
      <c r="E642"/>
      <c r="F642"/>
      <c r="G642"/>
      <c r="H642" s="347">
        <f>IF($C642&lt;=ROUNDUP('B. Implementation Plan'!P201,0),ROUND(IF(AND($C642-'B. Implementation Plan'!P201&lt;1,$C642-'B. Implementation Plan'!P201&gt;0),MOD('B. Implementation Plan'!P201,1)*F635*1*(1-'B. Implementation Plan'!P198)^($C642-1),F635*1*(1-'B. Implementation Plan'!P198)^($C642-1)),0),0)</f>
        <v>0</v>
      </c>
      <c r="I642" s="347">
        <f>IF($C642&lt;=ROUNDUP('B. Implementation Plan'!P201,0),ROUND(IF(AND($C642-'B. Implementation Plan'!P201&lt;1,$C642-'B. Implementation Plan'!P201&gt;0),MOD('B. Implementation Plan'!P201,1)*G635*1*(1-'B. Implementation Plan'!P198)^($C642-1),G635*1*(1-'B. Implementation Plan'!P198)^($C642-1)),0),0)</f>
        <v>0</v>
      </c>
      <c r="J642" s="347">
        <f>IF($C642&lt;=ROUNDUP('B. Implementation Plan'!P201,0),ROUND(IF(AND($C642-'B. Implementation Plan'!P201&lt;1,$C642-'B. Implementation Plan'!P201&gt;0),MOD('B. Implementation Plan'!P201,1)*H635*1*(1-'B. Implementation Plan'!P198)^($C642-1),H635*1*(1-'B. Implementation Plan'!P198)^($C642-1)),0),0)</f>
        <v>0</v>
      </c>
      <c r="K642" s="347">
        <f>IF($C642&lt;=ROUNDUP('B. Implementation Plan'!P201,0),ROUND(IF(AND($C642-'B. Implementation Plan'!P201&lt;1,$C642-'B. Implementation Plan'!P201&gt;0),MOD('B. Implementation Plan'!P201,1)*I635*1*(1-'B. Implementation Plan'!P198)^($C642-1),I635*1*(1-'B. Implementation Plan'!P198)^($C642-1)),0),0)</f>
        <v>0</v>
      </c>
      <c r="L642" s="347">
        <f>IF($C642&lt;=ROUNDUP('B. Implementation Plan'!P201,0),ROUND(IF(AND($C642-'B. Implementation Plan'!P201&lt;1,$C642-'B. Implementation Plan'!P201&gt;0),MOD('B. Implementation Plan'!P201,1)*J635*1*(1-'B. Implementation Plan'!P198)^($C642-1),J635*1*(1-'B. Implementation Plan'!P198)^($C642-1)),0),0)</f>
        <v>0</v>
      </c>
      <c r="M642" s="347">
        <f>IF($C642&lt;=ROUNDUP('B. Implementation Plan'!P201,0),ROUND(IF(AND($C642-'B. Implementation Plan'!P201&lt;1,$C642-'B. Implementation Plan'!P201&gt;0),MOD('B. Implementation Plan'!P201,1)*K635*1*(1-'B. Implementation Plan'!P198)^($C642-1),K635*1*(1-'B. Implementation Plan'!P198)^($C642-1)),0),0)</f>
        <v>0</v>
      </c>
      <c r="N642" s="347">
        <f>IF($C642&lt;=ROUNDUP('B. Implementation Plan'!P201,0),ROUND(IF(AND($C642-'B. Implementation Plan'!P201&lt;1,$C642-'B. Implementation Plan'!P201&gt;0),MOD('B. Implementation Plan'!P201,1)*L635*1*(1-'B. Implementation Plan'!P198)^($C642-1),L635*1*(1-'B. Implementation Plan'!P198)^($C642-1)),0),0)</f>
        <v>0</v>
      </c>
      <c r="O642" s="347">
        <f>IF($C642&lt;=ROUNDUP('B. Implementation Plan'!P201,0),ROUND(IF(AND($C642-'B. Implementation Plan'!P201&lt;1,$C642-'B. Implementation Plan'!P201&gt;0),MOD('B. Implementation Plan'!P201,1)*M635*1*(1-'B. Implementation Plan'!P198)^($C642-1),M635*1*(1-'B. Implementation Plan'!P198)^($C642-1)),0),0)</f>
        <v>0</v>
      </c>
      <c r="P642" s="78" t="str">
        <f t="shared" si="413"/>
        <v/>
      </c>
    </row>
    <row r="643" spans="3:16" s="365" customFormat="1" x14ac:dyDescent="0.3">
      <c r="C643" s="370">
        <v>4</v>
      </c>
      <c r="E643"/>
      <c r="F643"/>
      <c r="G643"/>
      <c r="H643"/>
      <c r="I643" s="347">
        <f>IF($C643&lt;=ROUNDUP('B. Implementation Plan'!P201,0),ROUND(IF(AND($C643-'B. Implementation Plan'!P201&lt;1,$C643-'B. Implementation Plan'!P201&gt;0),MOD('B. Implementation Plan'!P201,1)*F635*1*(1-'B. Implementation Plan'!P198)^($C643-1),F635*1*(1-'B. Implementation Plan'!P198)^($C643-1)),0),0)</f>
        <v>0</v>
      </c>
      <c r="J643" s="347">
        <f>IF($C643&lt;=ROUNDUP('B. Implementation Plan'!P201,0),ROUND(IF(AND($C643-'B. Implementation Plan'!P201&lt;1,$C643-'B. Implementation Plan'!P201&gt;0),MOD('B. Implementation Plan'!P201,1)*G635*1*(1-'B. Implementation Plan'!P198)^($C643-1),G635*1*(1-'B. Implementation Plan'!P198)^($C643-1)),0),0)</f>
        <v>0</v>
      </c>
      <c r="K643" s="347">
        <f>IF($C643&lt;=ROUNDUP('B. Implementation Plan'!P201,0),ROUND(IF(AND($C643-'B. Implementation Plan'!P201&lt;1,$C643-'B. Implementation Plan'!P201&gt;0),MOD('B. Implementation Plan'!P201,1)*H635*1*(1-'B. Implementation Plan'!P198)^($C643-1),H635*1*(1-'B. Implementation Plan'!P198)^($C643-1)),0),0)</f>
        <v>0</v>
      </c>
      <c r="L643" s="347">
        <f>IF($C643&lt;=ROUNDUP('B. Implementation Plan'!P201,0),ROUND(IF(AND($C643-'B. Implementation Plan'!P201&lt;1,$C643-'B. Implementation Plan'!P201&gt;0),MOD('B. Implementation Plan'!P201,1)*I635*1*(1-'B. Implementation Plan'!P198)^($C643-1),I635*1*(1-'B. Implementation Plan'!P198)^($C643-1)),0),0)</f>
        <v>0</v>
      </c>
      <c r="M643" s="347">
        <f>IF($C643&lt;=ROUNDUP('B. Implementation Plan'!P201,0),ROUND(IF(AND($C643-'B. Implementation Plan'!P201&lt;1,$C643-'B. Implementation Plan'!P201&gt;0),MOD('B. Implementation Plan'!P201,1)*J635*1*(1-'B. Implementation Plan'!P198)^($C643-1),J635*1*(1-'B. Implementation Plan'!P198)^($C643-1)),0),0)</f>
        <v>0</v>
      </c>
      <c r="N643" s="347">
        <f>IF($C643&lt;=ROUNDUP('B. Implementation Plan'!P201,0),ROUND(IF(AND($C643-'B. Implementation Plan'!P201&lt;1,$C643-'B. Implementation Plan'!P201&gt;0),MOD('B. Implementation Plan'!P201,1)*K635*1*(1-'B. Implementation Plan'!P198)^($C643-1),K635*1*(1-'B. Implementation Plan'!P198)^($C643-1)),0),0)</f>
        <v>0</v>
      </c>
      <c r="O643" s="347">
        <f>IF($C643&lt;=ROUNDUP('B. Implementation Plan'!P201,0),ROUND(IF(AND($C643-'B. Implementation Plan'!P201&lt;1,$C643-'B. Implementation Plan'!P201&gt;0),MOD('B. Implementation Plan'!P201,1)*L635*1*(1-'B. Implementation Plan'!P198)^($C643-1),L635*1*(1-'B. Implementation Plan'!P198)^($C643-1)),0),0)</f>
        <v>0</v>
      </c>
      <c r="P643" s="78" t="str">
        <f t="shared" si="413"/>
        <v/>
      </c>
    </row>
    <row r="644" spans="3:16" s="365" customFormat="1" x14ac:dyDescent="0.3">
      <c r="C644" s="370">
        <v>5</v>
      </c>
      <c r="E644"/>
      <c r="F644"/>
      <c r="G644"/>
      <c r="H644"/>
      <c r="I644"/>
      <c r="J644" s="347">
        <f>IF($C644&lt;=ROUNDUP('B. Implementation Plan'!P201,0),ROUND(IF(AND($C644-'B. Implementation Plan'!P201&lt;1,$C644-'B. Implementation Plan'!P201&gt;0),MOD('B. Implementation Plan'!P201,1)*F635*1*(1-'B. Implementation Plan'!P198)^($C644-1),F635*1*(1-'B. Implementation Plan'!P198)^($C644-1)),0),0)</f>
        <v>0</v>
      </c>
      <c r="K644" s="347">
        <f>IF($C644&lt;=ROUNDUP('B. Implementation Plan'!P201,0),ROUND(IF(AND($C644-'B. Implementation Plan'!P201&lt;1,$C644-'B. Implementation Plan'!P201&gt;0),MOD('B. Implementation Plan'!P201,1)*G635*1*(1-'B. Implementation Plan'!P198)^($C644-1),G635*1*(1-'B. Implementation Plan'!P198)^($C644-1)),0),0)</f>
        <v>0</v>
      </c>
      <c r="L644" s="347">
        <f>IF($C644&lt;=ROUNDUP('B. Implementation Plan'!P201,0),ROUND(IF(AND($C644-'B. Implementation Plan'!P201&lt;1,$C644-'B. Implementation Plan'!P201&gt;0),MOD('B. Implementation Plan'!P201,1)*H635*1*(1-'B. Implementation Plan'!P198)^($C644-1),H635*1*(1-'B. Implementation Plan'!P198)^($C644-1)),0),0)</f>
        <v>0</v>
      </c>
      <c r="M644" s="347">
        <f>IF($C644&lt;=ROUNDUP('B. Implementation Plan'!P201,0),ROUND(IF(AND($C644-'B. Implementation Plan'!P201&lt;1,$C644-'B. Implementation Plan'!P201&gt;0),MOD('B. Implementation Plan'!P201,1)*I635*1*(1-'B. Implementation Plan'!P198)^($C644-1),I635*1*(1-'B. Implementation Plan'!P198)^($C644-1)),0),0)</f>
        <v>0</v>
      </c>
      <c r="N644" s="347">
        <f>IF($C644&lt;=ROUNDUP('B. Implementation Plan'!P201,0),ROUND(IF(AND($C644-'B. Implementation Plan'!P201&lt;1,$C644-'B. Implementation Plan'!P201&gt;0),MOD('B. Implementation Plan'!P201,1)*J635*1*(1-'B. Implementation Plan'!P198)^($C644-1),J635*1*(1-'B. Implementation Plan'!P198)^($C644-1)),0),0)</f>
        <v>0</v>
      </c>
      <c r="O644" s="347">
        <f>IF($C644&lt;=ROUNDUP('B. Implementation Plan'!P201,0),ROUND(IF(AND($C644-'B. Implementation Plan'!P201&lt;1,$C644-'B. Implementation Plan'!P201&gt;0),MOD('B. Implementation Plan'!P201,1)*K635*1*(1-'B. Implementation Plan'!P198)^($C644-1),K635*1*(1-'B. Implementation Plan'!P198)^($C644-1)),0),0)</f>
        <v>0</v>
      </c>
      <c r="P644" s="78" t="str">
        <f t="shared" si="413"/>
        <v/>
      </c>
    </row>
    <row r="645" spans="3:16" s="365" customFormat="1" x14ac:dyDescent="0.3">
      <c r="C645" s="370">
        <v>6</v>
      </c>
      <c r="E645"/>
      <c r="F645"/>
      <c r="G645"/>
      <c r="H645"/>
      <c r="I645"/>
      <c r="J645"/>
      <c r="K645" s="347">
        <f>IF($C645&lt;=ROUNDUP('B. Implementation Plan'!P201,0),ROUND(IF(AND($C645-'B. Implementation Plan'!P201&lt;1,$C645-'B. Implementation Plan'!P201&gt;0),MOD('B. Implementation Plan'!P201,1)*F635*1*(1-'B. Implementation Plan'!P198)^($C645-1),F635*1*(1-'B. Implementation Plan'!P198)^($C645-1)),0),0)</f>
        <v>0</v>
      </c>
      <c r="L645" s="347">
        <f>IF($C645&lt;=ROUNDUP('B. Implementation Plan'!P201,0),ROUND(IF(AND($C645-'B. Implementation Plan'!P201&lt;1,$C645-'B. Implementation Plan'!P201&gt;0),MOD('B. Implementation Plan'!P201,1)*G635*1*(1-'B. Implementation Plan'!P198)^($C645-1),G635*1*(1-'B. Implementation Plan'!P198)^($C645-1)),0),0)</f>
        <v>0</v>
      </c>
      <c r="M645" s="347">
        <f>IF($C645&lt;=ROUNDUP('B. Implementation Plan'!P201,0),ROUND(IF(AND($C645-'B. Implementation Plan'!P201&lt;1,$C645-'B. Implementation Plan'!P201&gt;0),MOD('B. Implementation Plan'!P201,1)*H635*1*(1-'B. Implementation Plan'!P198)^($C645-1),H635*1*(1-'B. Implementation Plan'!P198)^($C645-1)),0),0)</f>
        <v>0</v>
      </c>
      <c r="N645" s="347">
        <f>IF($C645&lt;=ROUNDUP('B. Implementation Plan'!P201,0),ROUND(IF(AND($C645-'B. Implementation Plan'!P201&lt;1,$C645-'B. Implementation Plan'!P201&gt;0),MOD('B. Implementation Plan'!P201,1)*I635*1*(1-'B. Implementation Plan'!P198)^($C645-1),I635*1*(1-'B. Implementation Plan'!P198)^($C645-1)),0),0)</f>
        <v>0</v>
      </c>
      <c r="O645" s="347">
        <f>IF($C645&lt;=ROUNDUP('B. Implementation Plan'!P201,0),ROUND(IF(AND($C645-'B. Implementation Plan'!P201&lt;1,$C645-'B. Implementation Plan'!P201&gt;0),MOD('B. Implementation Plan'!P201,1)*J635*1*(1-'B. Implementation Plan'!P198)^($C645-1),J635*1*(1-'B. Implementation Plan'!P198)^($C645-1)),0),0)</f>
        <v>0</v>
      </c>
      <c r="P645" s="78" t="str">
        <f t="shared" si="413"/>
        <v/>
      </c>
    </row>
    <row r="646" spans="3:16" s="365" customFormat="1" x14ac:dyDescent="0.3">
      <c r="C646" s="370">
        <v>7</v>
      </c>
      <c r="E646"/>
      <c r="F646"/>
      <c r="G646"/>
      <c r="H646"/>
      <c r="I646"/>
      <c r="J646"/>
      <c r="K646"/>
      <c r="L646" s="347">
        <f>IF($C646&lt;=ROUNDUP('B. Implementation Plan'!P201,0),ROUND(IF(AND($C646-'B. Implementation Plan'!P201&lt;1,$C646-'B. Implementation Plan'!P201&gt;0),MOD('B. Implementation Plan'!P201,1)*F635*1*(1-'B. Implementation Plan'!P198)^($C646-1),F635*1*(1-'B. Implementation Plan'!P198)^($C646-1)),0),0)</f>
        <v>0</v>
      </c>
      <c r="M646" s="347">
        <f>IF($C646&lt;=ROUNDUP('B. Implementation Plan'!P201,0),ROUND(IF(AND($C646-'B. Implementation Plan'!P201&lt;1,$C646-'B. Implementation Plan'!P201&gt;0),MOD('B. Implementation Plan'!P201,1)*G635*1*(1-'B. Implementation Plan'!P198)^($C646-1),G635*1*(1-'B. Implementation Plan'!P198)^($C646-1)),0),0)</f>
        <v>0</v>
      </c>
      <c r="N646" s="347">
        <f>IF($C646&lt;=ROUNDUP('B. Implementation Plan'!P201,0),ROUND(IF(AND($C646-'B. Implementation Plan'!P201&lt;1,$C646-'B. Implementation Plan'!P201&gt;0),MOD('B. Implementation Plan'!P201,1)*H635*1*(1-'B. Implementation Plan'!P198)^($C646-1),H635*1*(1-'B. Implementation Plan'!P198)^($C646-1)),0),0)</f>
        <v>0</v>
      </c>
      <c r="O646" s="347">
        <f>IF($C646&lt;=ROUNDUP('B. Implementation Plan'!P201,0),ROUND(IF(AND($C646-'B. Implementation Plan'!P201&lt;1,$C646-'B. Implementation Plan'!P201&gt;0),MOD('B. Implementation Plan'!P201,1)*I635*1*(1-'B. Implementation Plan'!P198)^($C646-1),I635*1*(1-'B. Implementation Plan'!P198)^($C646-1)),0),0)</f>
        <v>0</v>
      </c>
      <c r="P646" s="78" t="str">
        <f t="shared" si="413"/>
        <v/>
      </c>
    </row>
    <row r="647" spans="3:16" s="365" customFormat="1" x14ac:dyDescent="0.3">
      <c r="C647" s="370">
        <v>8</v>
      </c>
      <c r="E647"/>
      <c r="F647"/>
      <c r="G647"/>
      <c r="H647"/>
      <c r="I647"/>
      <c r="J647"/>
      <c r="K647"/>
      <c r="L647"/>
      <c r="M647" s="347">
        <f>IF($C647&lt;=ROUNDUP('B. Implementation Plan'!P201,0),ROUND(IF(AND($C647-'B. Implementation Plan'!P201&lt;1,$C647-'B. Implementation Plan'!P201&gt;0),MOD('B. Implementation Plan'!P201,1)*F635*1*(1-'B. Implementation Plan'!P198)^($C647-1),F635*1*(1-'B. Implementation Plan'!P198)^($C647-1)),0),0)</f>
        <v>0</v>
      </c>
      <c r="N647" s="347">
        <f>IF($C647&lt;=ROUNDUP('B. Implementation Plan'!P201,0),ROUND(IF(AND($C647-'B. Implementation Plan'!P201&lt;1,$C647-'B. Implementation Plan'!P201&gt;0),MOD('B. Implementation Plan'!P201,1)*G635*1*(1-'B. Implementation Plan'!P198)^($C647-1),G635*1*(1-'B. Implementation Plan'!P198)^($C647-1)),0),0)</f>
        <v>0</v>
      </c>
      <c r="O647" s="347">
        <f>IF($C647&lt;=ROUNDUP('B. Implementation Plan'!P201,0),ROUND(IF(AND($C647-'B. Implementation Plan'!P201&lt;1,$C647-'B. Implementation Plan'!P201&gt;0),MOD('B. Implementation Plan'!P201,1)*H635*1*(1-'B. Implementation Plan'!P198)^($C647-1),H635*1*(1-'B. Implementation Plan'!P198)^($C647-1)),0),0)</f>
        <v>0</v>
      </c>
      <c r="P647" s="78" t="str">
        <f t="shared" si="413"/>
        <v/>
      </c>
    </row>
    <row r="648" spans="3:16" s="365" customFormat="1" x14ac:dyDescent="0.3">
      <c r="C648" s="370">
        <v>9</v>
      </c>
      <c r="E648"/>
      <c r="F648"/>
      <c r="G648"/>
      <c r="H648"/>
      <c r="I648"/>
      <c r="J648"/>
      <c r="K648"/>
      <c r="L648"/>
      <c r="M648"/>
      <c r="N648" s="347">
        <f>IF($C648&lt;=ROUNDUP('B. Implementation Plan'!P201,0),ROUND(IF(AND($C648-'B. Implementation Plan'!P201&lt;1,$C648-'B. Implementation Plan'!P201&gt;0),MOD('B. Implementation Plan'!P201,1)*F635*1*(1-'B. Implementation Plan'!P198)^($C648-1),F635*1*(1-'B. Implementation Plan'!P198)^($C648-1)),0),0)</f>
        <v>0</v>
      </c>
      <c r="O648" s="347">
        <f>IF($C648&lt;=ROUNDUP('B. Implementation Plan'!P201,0),ROUND(IF(AND($C648-'B. Implementation Plan'!P201&lt;1,$C648-'B. Implementation Plan'!P201&gt;0),MOD('B. Implementation Plan'!P201,1)*G635*1*(1-'B. Implementation Plan'!P198)^($C648-1),G635*1*(1-'B. Implementation Plan'!P198)^($C648-1)),0),0)</f>
        <v>0</v>
      </c>
      <c r="P648" s="78" t="str">
        <f t="shared" si="413"/>
        <v/>
      </c>
    </row>
    <row r="649" spans="3:16" s="365" customFormat="1" x14ac:dyDescent="0.3">
      <c r="C649" s="370">
        <v>10</v>
      </c>
      <c r="E649"/>
      <c r="F649"/>
      <c r="G649"/>
      <c r="H649"/>
      <c r="I649"/>
      <c r="J649"/>
      <c r="K649"/>
      <c r="L649"/>
      <c r="M649"/>
      <c r="N649" s="19"/>
      <c r="O649" s="347">
        <f>IF($C649&lt;=ROUNDUP('B. Implementation Plan'!P201,0),ROUND(IF(AND($C649-'B. Implementation Plan'!P201&lt;1,$C649-'B. Implementation Plan'!P201&gt;0),MOD('B. Implementation Plan'!P201,1)*F635*1*(1-'B. Implementation Plan'!P198)^($C649-1),F635*1*(1-'B. Implementation Plan'!P198)^($C649-1)),0),0)</f>
        <v>0</v>
      </c>
      <c r="P649" s="78" t="str">
        <f t="shared" si="413"/>
        <v/>
      </c>
    </row>
    <row r="650" spans="3:16" s="1" customFormat="1" x14ac:dyDescent="0.3">
      <c r="C650" s="376" t="s">
        <v>510</v>
      </c>
      <c r="E650"/>
      <c r="F650" s="371">
        <f t="shared" ref="F650:O650" ca="1" si="414">IF(F632&gt;0,SUM(F640:F649),0)</f>
        <v>0</v>
      </c>
      <c r="G650" s="371">
        <f t="shared" ca="1" si="414"/>
        <v>0</v>
      </c>
      <c r="H650" s="371">
        <f t="shared" ca="1" si="414"/>
        <v>0</v>
      </c>
      <c r="I650" s="371">
        <f t="shared" ca="1" si="414"/>
        <v>0</v>
      </c>
      <c r="J650" s="371">
        <f t="shared" ca="1" si="414"/>
        <v>0</v>
      </c>
      <c r="K650" s="371">
        <f t="shared" ca="1" si="414"/>
        <v>0</v>
      </c>
      <c r="L650" s="371">
        <f t="shared" ca="1" si="414"/>
        <v>0</v>
      </c>
      <c r="M650" s="371">
        <f t="shared" ca="1" si="414"/>
        <v>0</v>
      </c>
      <c r="N650" s="371">
        <f t="shared" ca="1" si="414"/>
        <v>0</v>
      </c>
      <c r="O650" s="371">
        <f t="shared" ca="1" si="414"/>
        <v>0</v>
      </c>
      <c r="P650" s="325">
        <f ca="1">SUM(E650:O650)</f>
        <v>0</v>
      </c>
    </row>
    <row r="651" spans="3:16" s="1" customFormat="1" x14ac:dyDescent="0.3">
      <c r="C651" s="353" t="s">
        <v>511</v>
      </c>
      <c r="E651"/>
      <c r="F651" s="324">
        <f ca="1">MIN(IFERROR(ROUNDUP(IF(F632&gt;0,INDEX(F640:F649,MATCH(9.99999999999999E+307,P640:P649))/IF(MOD('B. Implementation Plan'!P201,1)=0,1,MOD('B. Implementation Plan'!P201,1)),0),0),0),MAX(E640:E649))</f>
        <v>0</v>
      </c>
      <c r="G651" s="324">
        <f ca="1">MIN(IFERROR(ROUNDUP(IF(G632&gt;0,INDEX(G640:G649,MATCH(9.99999999999999E+307,P640:P649))/IF(MOD('B. Implementation Plan'!P201,1)=0,1,MOD('B. Implementation Plan'!P201,1)),0),0),0),MAX(E640:F649))</f>
        <v>0</v>
      </c>
      <c r="H651" s="324">
        <f ca="1">MIN(IFERROR(ROUNDUP(IF(H632&gt;0,INDEX(H640:H649,MATCH(9.99999999999999E+307,P640:P649))/IF(MOD('B. Implementation Plan'!P201,1)=0,1,MOD('B. Implementation Plan'!P201,1)),0),0),0),MAX(E640:G649))</f>
        <v>0</v>
      </c>
      <c r="I651" s="324">
        <f ca="1">MIN(IFERROR(ROUNDUP(IF(I632&gt;0,INDEX(I640:I649,MATCH(9.99999999999999E+307,P640:P649))/IF(MOD('B. Implementation Plan'!P201,1)=0,1,MOD('B. Implementation Plan'!P201,1)),0),0),0),MAX(E640:H649))</f>
        <v>0</v>
      </c>
      <c r="J651" s="324">
        <f ca="1">MIN(IFERROR(ROUNDUP(IF(J632&gt;0,INDEX(J640:J649,MATCH(9.99999999999999E+307,P640:P649))/IF(MOD('B. Implementation Plan'!P201,1)=0,1,MOD('B. Implementation Plan'!P201,1)),0),0),0),MAX(E640:I649))</f>
        <v>0</v>
      </c>
      <c r="K651" s="324">
        <f ca="1">MIN(IFERROR(ROUNDUP(IF(K632&gt;0,INDEX(K640:K649,MATCH(9.99999999999999E+307,P640:P649))/IF(MOD('B. Implementation Plan'!P201,1)=0,1,MOD('B. Implementation Plan'!P201,1)),0),0),0),MAX(E640:J649))</f>
        <v>0</v>
      </c>
      <c r="L651" s="324">
        <f ca="1">MIN(IFERROR(ROUNDUP(IF(L632&gt;0,INDEX(L640:L649,MATCH(9.99999999999999E+307,P640:P649))/IF(MOD('B. Implementation Plan'!P201,1)=0,1,MOD('B. Implementation Plan'!P201,1)),0),0),0),MAX(E640:K649))</f>
        <v>0</v>
      </c>
      <c r="M651" s="324">
        <f ca="1">MIN(IFERROR(ROUNDUP(IF(M632&gt;0,INDEX(M640:M649,MATCH(9.99999999999999E+307,P640:P649))/IF(MOD('B. Implementation Plan'!P201,1)=0,1,MOD('B. Implementation Plan'!P201,1)),0),0),0),MAX(E640:L649))</f>
        <v>0</v>
      </c>
      <c r="N651" s="324">
        <f ca="1">MIN(IFERROR(ROUNDUP(IF(N632&gt;0,INDEX(N640:N649,MATCH(9.99999999999999E+307,P640:P649))/IF(MOD('B. Implementation Plan'!P201,1)=0,1,MOD('B. Implementation Plan'!P201,1)),0),0),0),MAX(E640:M649))</f>
        <v>0</v>
      </c>
      <c r="O651" s="324">
        <f ca="1">MIN(IFERROR(ROUNDUP(IF(O632&gt;0,INDEX(O640:O649,MATCH(9.99999999999999E+307,P640:P649))/IF(MOD('B. Implementation Plan'!P201,1)=0,1,MOD('B. Implementation Plan'!P201,1)),0),0),0),MAX(E640:N649))</f>
        <v>0</v>
      </c>
      <c r="P651" s="325">
        <f ca="1">SUM(E651:O651)</f>
        <v>0</v>
      </c>
    </row>
    <row r="652" spans="3:16" s="365" customFormat="1" x14ac:dyDescent="0.3">
      <c r="C652" s="326" t="s">
        <v>512</v>
      </c>
      <c r="E652"/>
      <c r="F652" s="347">
        <f ca="1">ROUNDUP(IF(F632&gt;0,IF(SUM(E651:F651,E652:E652)*'B. Implementation Plan'!P198&gt;P651,0,-ROUND(SUM(E651:F651,E652:E652)*'B. Implementation Plan'!P198,0)),0),0)</f>
        <v>0</v>
      </c>
      <c r="G652" s="347">
        <f ca="1">ROUNDUP(IF(G632&gt;0,IF(SUM(E651:G651,E652:F652)*'B. Implementation Plan'!P198&gt;P651,0,-ROUND(SUM(E651:G651,E652:F652)*'B. Implementation Plan'!P198,0)),0),0)</f>
        <v>0</v>
      </c>
      <c r="H652" s="347">
        <f ca="1">ROUNDUP(IF(H632&gt;0,IF(SUM(E651:H651,E652:G652)*'B. Implementation Plan'!P198&gt;P651,0,-ROUND(SUM(E651:H651,E652:G652)*'B. Implementation Plan'!P198,0)),0),0)</f>
        <v>0</v>
      </c>
      <c r="I652" s="347">
        <f ca="1">ROUNDUP(IF(I632&gt;0,IF(SUM(E651:I651,E652:H652)*'B. Implementation Plan'!P198&gt;P651,0,-ROUND(SUM(E651:I651,E652:H652)*'B. Implementation Plan'!P198,0)),0),0)</f>
        <v>0</v>
      </c>
      <c r="J652" s="347">
        <f ca="1">ROUNDUP(IF(J632&gt;0,IF(SUM(E651:J651,E652:I652)*'B. Implementation Plan'!P198&gt;P651,0,-ROUND(SUM(E651:J651,E652:I652)*'B. Implementation Plan'!P198,0)),0),0)</f>
        <v>0</v>
      </c>
      <c r="K652" s="347">
        <f ca="1">ROUNDUP(IF(K632&gt;0,IF(SUM(E651:K651,E652:J652)*'B. Implementation Plan'!P198&gt;P651,0,-ROUND(SUM(E651:K651,E652:J652)*'B. Implementation Plan'!P198,0)),0),0)</f>
        <v>0</v>
      </c>
      <c r="L652" s="347">
        <f ca="1">ROUNDUP(IF(L632&gt;0,IF(SUM(E651:L651,E652:K652)*'B. Implementation Plan'!P198&gt;P651,0,-ROUND(SUM(E651:L651,E652:K652)*'B. Implementation Plan'!P198,0)),0),0)</f>
        <v>0</v>
      </c>
      <c r="M652" s="347">
        <f ca="1">ROUNDUP(IF(M632&gt;0,IF(SUM(E651:M651,E652:L652)*'B. Implementation Plan'!P198&gt;P651,0,-ROUND(SUM(E651:M651,E652:L652)*'B. Implementation Plan'!P198,0)),0),0)</f>
        <v>0</v>
      </c>
      <c r="N652" s="347">
        <f ca="1">ROUNDUP(IF(N632&gt;0,IF(SUM(E651:N651,E652:M652)*'B. Implementation Plan'!P198&gt;P651,0,-ROUND(SUM(E651:N651,E652:M652)*'B. Implementation Plan'!P198,0)),0),0)</f>
        <v>0</v>
      </c>
      <c r="O652" s="347">
        <f ca="1">ROUNDUP(IF(O632&gt;0,IF(SUM(E651:O651,E652:N652)*'B. Implementation Plan'!P198&gt;P651,0,-ROUND(SUM(E651:O651,E652:N652)*'B. Implementation Plan'!P198,0)),0),0)</f>
        <v>0</v>
      </c>
      <c r="P652" s="354">
        <f ca="1">SUM(E652:O652)</f>
        <v>0</v>
      </c>
    </row>
    <row r="653" spans="3:16" s="365" customFormat="1" ht="15" thickBot="1" x14ac:dyDescent="0.35">
      <c r="C653" s="326" t="s">
        <v>513</v>
      </c>
      <c r="E653"/>
      <c r="F653" s="347">
        <f ca="1">IF(F632&gt;0,SUM(E651:F652),0)</f>
        <v>0</v>
      </c>
      <c r="G653" s="347">
        <f ca="1">IF(G632&gt;0,SUM(E651:G652),0)</f>
        <v>0</v>
      </c>
      <c r="H653" s="347">
        <f ca="1">IF(H632&gt;0,SUM(E651:H652),0)</f>
        <v>0</v>
      </c>
      <c r="I653" s="347">
        <f ca="1">IF(I632&gt;0,SUM(E651:I652),0)</f>
        <v>0</v>
      </c>
      <c r="J653" s="347">
        <f ca="1">IF(J632&gt;0,SUM(E651:J652),0)</f>
        <v>0</v>
      </c>
      <c r="K653" s="347">
        <f ca="1">IF(K632&gt;0,SUM(E651:K652),0)</f>
        <v>0</v>
      </c>
      <c r="L653" s="347">
        <f ca="1">IF(L632&gt;0,SUM(E651:L652),0)</f>
        <v>0</v>
      </c>
      <c r="M653" s="347">
        <f ca="1">IF(M632&gt;0,SUM(E651:M652),0)</f>
        <v>0</v>
      </c>
      <c r="N653" s="347">
        <f ca="1">IF(N632&gt;0,SUM(E651:N652),0)</f>
        <v>0</v>
      </c>
      <c r="O653" s="369">
        <f ca="1">IF(O632&gt;0,SUM(E651:O652),0)</f>
        <v>0</v>
      </c>
      <c r="P653" s="375">
        <f t="shared" ref="P653" ca="1" si="415">IF(O653=0,IF(N653=0,IF(M653=0,IF(L653=0,IF(K653=0,IF(J653=0,IF(I653=0,IF(H653=0,IF(G653=0,IF(F653=0,E653,F653),G653),H653),I653),J653),K653),L653),M653),N653),O653)</f>
        <v>0</v>
      </c>
    </row>
    <row r="654" spans="3:16" ht="15" thickBot="1" x14ac:dyDescent="0.35">
      <c r="C654" s="59" t="s">
        <v>520</v>
      </c>
    </row>
    <row r="655" spans="3:16" ht="15.6" x14ac:dyDescent="0.3">
      <c r="C655" s="326" t="s">
        <v>514</v>
      </c>
      <c r="F655" s="149">
        <v>1</v>
      </c>
      <c r="G655" s="149">
        <v>2</v>
      </c>
      <c r="H655" s="149">
        <v>3</v>
      </c>
      <c r="I655" s="149">
        <v>4</v>
      </c>
      <c r="J655" s="149">
        <v>5</v>
      </c>
      <c r="K655" s="149">
        <v>6</v>
      </c>
      <c r="L655" s="149">
        <v>7</v>
      </c>
      <c r="M655" s="149">
        <v>8</v>
      </c>
      <c r="N655" s="149">
        <v>9</v>
      </c>
      <c r="O655" s="374">
        <v>10</v>
      </c>
      <c r="P655" s="351" t="s">
        <v>2</v>
      </c>
    </row>
    <row r="656" spans="3:16" s="365" customFormat="1" x14ac:dyDescent="0.3">
      <c r="C656" s="370">
        <v>1</v>
      </c>
      <c r="E656"/>
      <c r="F656" s="347">
        <f ca="1">IF($C656&lt;=ROUNDUP('B. Implementation Plan'!P201,0),ROUND(IF(AND($C656-'B. Implementation Plan'!P201&lt;1,$C656-'B. Implementation Plan'!P201&gt;0),MOD('B. Implementation Plan'!P201,1)*(E637+F637)*(1-'B. Implementation Plan'!P199)*'B. Implementation Plan'!P200*(1-'B. Implementation Plan'!P198)^($C656-1),(E637+F637)*(1-'B. Implementation Plan'!P199)*'B. Implementation Plan'!P200*(1-'B. Implementation Plan'!P198)^($C656-1)),0),0)</f>
        <v>0</v>
      </c>
      <c r="G656" s="347">
        <f ca="1">IF($C656&lt;=ROUNDUP('B. Implementation Plan'!P201,0),ROUND(IF(AND($C656-'B. Implementation Plan'!P201&lt;1,$C656-'B. Implementation Plan'!P201&gt;0),MOD('B. Implementation Plan'!P201,1)*G637*(1-'B. Implementation Plan'!P199)*'B. Implementation Plan'!P200*(1-'B. Implementation Plan'!P198)^($C656-1),G637*(1-'B. Implementation Plan'!P199)*'B. Implementation Plan'!P200*(1-'B. Implementation Plan'!P198)^($C656-1)),0),0)</f>
        <v>0</v>
      </c>
      <c r="H656" s="347">
        <f ca="1">IF($C656&lt;=ROUNDUP('B. Implementation Plan'!P201,0),ROUND(IF(AND($C656-'B. Implementation Plan'!P201&lt;1,$C656-'B. Implementation Plan'!P201&gt;0),MOD('B. Implementation Plan'!P201,1)*H637*(1-'B. Implementation Plan'!P199)*'B. Implementation Plan'!P200*(1-'B. Implementation Plan'!P198)^($C656-1),H637*(1-'B. Implementation Plan'!P199)*'B. Implementation Plan'!P200*(1-'B. Implementation Plan'!P198)^($C656-1)),0),0)</f>
        <v>0</v>
      </c>
      <c r="I656" s="347">
        <f ca="1">IF($C656&lt;=ROUNDUP('B. Implementation Plan'!P201,0),ROUND(IF(AND($C656-'B. Implementation Plan'!P201&lt;1,$C656-'B. Implementation Plan'!P201&gt;0),MOD('B. Implementation Plan'!P201,1)*I637*(1-'B. Implementation Plan'!P199)*'B. Implementation Plan'!P200*(1-'B. Implementation Plan'!P198)^($C656-1),I637*(1-'B. Implementation Plan'!P199)*'B. Implementation Plan'!P200*(1-'B. Implementation Plan'!P198)^($C656-1)),0),0)</f>
        <v>0</v>
      </c>
      <c r="J656" s="347">
        <f ca="1">IF($C656&lt;=ROUNDUP('B. Implementation Plan'!P201,0),ROUND(IF(AND($C656-'B. Implementation Plan'!P201&lt;1,$C656-'B. Implementation Plan'!P201&gt;0),MOD('B. Implementation Plan'!P201,1)*J637*(1-'B. Implementation Plan'!P199)*'B. Implementation Plan'!P200*(1-'B. Implementation Plan'!P198)^($C656-1),J637*(1-'B. Implementation Plan'!P199)*'B. Implementation Plan'!P200*(1-'B. Implementation Plan'!P198)^($C656-1)),0),0)</f>
        <v>0</v>
      </c>
      <c r="K656" s="347">
        <f ca="1">IF($C656&lt;=ROUNDUP('B. Implementation Plan'!P201,0),ROUND(IF(AND($C656-'B. Implementation Plan'!P201&lt;1,$C656-'B. Implementation Plan'!P201&gt;0),MOD('B. Implementation Plan'!P201,1)*K637*(1-'B. Implementation Plan'!P199)*'B. Implementation Plan'!P200*(1-'B. Implementation Plan'!P198)^($C656-1),K637*(1-'B. Implementation Plan'!P199)*'B. Implementation Plan'!P200*(1-'B. Implementation Plan'!P198)^($C656-1)),0),0)</f>
        <v>0</v>
      </c>
      <c r="L656" s="347">
        <f ca="1">IF($C656&lt;=ROUNDUP('B. Implementation Plan'!P201,0),ROUND(IF(AND($C656-'B. Implementation Plan'!P201&lt;1,$C656-'B. Implementation Plan'!P201&gt;0),MOD('B. Implementation Plan'!P201,1)*L637*(1-'B. Implementation Plan'!P199)*'B. Implementation Plan'!P200*(1-'B. Implementation Plan'!P198)^($C656-1),L637*(1-'B. Implementation Plan'!P199)*'B. Implementation Plan'!P200*(1-'B. Implementation Plan'!P198)^($C656-1)),0),0)</f>
        <v>0</v>
      </c>
      <c r="M656" s="347">
        <f ca="1">IF($C656&lt;=ROUNDUP('B. Implementation Plan'!P201,0),ROUND(IF(AND($C656-'B. Implementation Plan'!P201&lt;1,$C656-'B. Implementation Plan'!P201&gt;0),MOD('B. Implementation Plan'!P201,1)*M637*(1-'B. Implementation Plan'!P199)*'B. Implementation Plan'!P200*(1-'B. Implementation Plan'!P198)^($C656-1),M637*(1-'B. Implementation Plan'!P199)*'B. Implementation Plan'!P200*(1-'B. Implementation Plan'!P198)^($C656-1)),0),0)</f>
        <v>0</v>
      </c>
      <c r="N656" s="347">
        <f ca="1">IF($C656&lt;=ROUNDUP('B. Implementation Plan'!P201,0),ROUND(IF(AND($C656-'B. Implementation Plan'!P201&lt;1,$C656-'B. Implementation Plan'!P201&gt;0),MOD('B. Implementation Plan'!P201,1)*N637*(1-'B. Implementation Plan'!P199)*'B. Implementation Plan'!P200*(1-'B. Implementation Plan'!P198)^($C656-1),N637*(1-'B. Implementation Plan'!P199)*'B. Implementation Plan'!P200*(1-'B. Implementation Plan'!P198)^($C656-1)),0),0)</f>
        <v>0</v>
      </c>
      <c r="O656" s="347">
        <f ca="1">IF($C656&lt;=ROUNDUP('B. Implementation Plan'!P201,0),ROUND(IF(AND($C656-'B. Implementation Plan'!P201&lt;1,$C656-'B. Implementation Plan'!P201&gt;0),MOD('B. Implementation Plan'!P201,1)*O637*(1-'B. Implementation Plan'!P199)*'B. Implementation Plan'!P200*(1-'B. Implementation Plan'!P198)^($C656-1),O637*(1-'B. Implementation Plan'!P199)*'B. Implementation Plan'!P200*(1-'B. Implementation Plan'!P198)^($C656-1)),0),0)</f>
        <v>0</v>
      </c>
      <c r="P656" s="78" t="str">
        <f ca="1">IF(SUM(F656:O656)&gt;0,SUM(F656:O656),"")</f>
        <v/>
      </c>
    </row>
    <row r="657" spans="3:16" s="365" customFormat="1" x14ac:dyDescent="0.3">
      <c r="C657" s="370">
        <v>2</v>
      </c>
      <c r="E657"/>
      <c r="F657"/>
      <c r="G657" s="347">
        <f ca="1">IF($C657&lt;=ROUNDUP('B. Implementation Plan'!P201,0),ROUND(IF(AND($C657-'B. Implementation Plan'!P201&lt;1,$C657-'B. Implementation Plan'!P201&gt;0),MOD('B. Implementation Plan'!P201,1)*(E637+F637)*(1-'B. Implementation Plan'!P199)*'B. Implementation Plan'!P200*(1-'B. Implementation Plan'!P198)^($C657-1),(E637+F637)*(1-'B. Implementation Plan'!P199)*'B. Implementation Plan'!P200*(1-'B. Implementation Plan'!P198)^($C657-1)),0),0)</f>
        <v>0</v>
      </c>
      <c r="H657" s="347">
        <f ca="1">IF($C657&lt;=ROUNDUP('B. Implementation Plan'!P201,0),ROUND(IF(AND($C657-'B. Implementation Plan'!P201&lt;1,$C657-'B. Implementation Plan'!P201&gt;0),MOD('B. Implementation Plan'!P201,1)*G637*(1-'B. Implementation Plan'!P199)*'B. Implementation Plan'!P200*(1-'B. Implementation Plan'!P198)^($C657-1),G637*(1-'B. Implementation Plan'!P199)*'B. Implementation Plan'!P200*(1-'B. Implementation Plan'!P198)^($C657-1)),0),0)</f>
        <v>0</v>
      </c>
      <c r="I657" s="347">
        <f ca="1">IF($C657&lt;=ROUNDUP('B. Implementation Plan'!P201,0),ROUND(IF(AND($C657-'B. Implementation Plan'!P201&lt;1,$C657-'B. Implementation Plan'!P201&gt;0),MOD('B. Implementation Plan'!P201,1)*H637*(1-'B. Implementation Plan'!P199)*'B. Implementation Plan'!P200*(1-'B. Implementation Plan'!P198)^($C657-1),H637*(1-'B. Implementation Plan'!P199)*'B. Implementation Plan'!P200*(1-'B. Implementation Plan'!P198)^($C657-1)),0),0)</f>
        <v>0</v>
      </c>
      <c r="J657" s="347">
        <f ca="1">IF($C657&lt;=ROUNDUP('B. Implementation Plan'!P201,0),ROUND(IF(AND($C657-'B. Implementation Plan'!P201&lt;1,$C657-'B. Implementation Plan'!P201&gt;0),MOD('B. Implementation Plan'!P201,1)*I637*(1-'B. Implementation Plan'!P199)*'B. Implementation Plan'!P200*(1-'B. Implementation Plan'!P198)^($C657-1),I637*(1-'B. Implementation Plan'!P199)*'B. Implementation Plan'!P200*(1-'B. Implementation Plan'!P198)^($C657-1)),0),0)</f>
        <v>0</v>
      </c>
      <c r="K657" s="347">
        <f ca="1">IF($C657&lt;=ROUNDUP('B. Implementation Plan'!P201,0),ROUND(IF(AND($C657-'B. Implementation Plan'!P201&lt;1,$C657-'B. Implementation Plan'!P201&gt;0),MOD('B. Implementation Plan'!P201,1)*J637*(1-'B. Implementation Plan'!P199)*'B. Implementation Plan'!P200*(1-'B. Implementation Plan'!P198)^($C657-1),J637*(1-'B. Implementation Plan'!P199)*'B. Implementation Plan'!P200*(1-'B. Implementation Plan'!P198)^($C657-1)),0),0)</f>
        <v>0</v>
      </c>
      <c r="L657" s="347">
        <f ca="1">IF($C657&lt;=ROUNDUP('B. Implementation Plan'!P201,0),ROUND(IF(AND($C657-'B. Implementation Plan'!P201&lt;1,$C657-'B. Implementation Plan'!P201&gt;0),MOD('B. Implementation Plan'!P201,1)*K637*(1-'B. Implementation Plan'!P199)*'B. Implementation Plan'!P200*(1-'B. Implementation Plan'!P198)^($C657-1),K637*(1-'B. Implementation Plan'!P199)*'B. Implementation Plan'!P200*(1-'B. Implementation Plan'!P198)^($C657-1)),0),0)</f>
        <v>0</v>
      </c>
      <c r="M657" s="347">
        <f ca="1">IF($C657&lt;=ROUNDUP('B. Implementation Plan'!P201,0),ROUND(IF(AND($C657-'B. Implementation Plan'!P201&lt;1,$C657-'B. Implementation Plan'!P201&gt;0),MOD('B. Implementation Plan'!P201,1)*L637*(1-'B. Implementation Plan'!P199)*'B. Implementation Plan'!P200*(1-'B. Implementation Plan'!P198)^($C657-1),L637*(1-'B. Implementation Plan'!P199)*'B. Implementation Plan'!P200*(1-'B. Implementation Plan'!P198)^($C657-1)),0),0)</f>
        <v>0</v>
      </c>
      <c r="N657" s="347">
        <f ca="1">IF($C657&lt;=ROUNDUP('B. Implementation Plan'!P201,0),ROUND(IF(AND($C657-'B. Implementation Plan'!P201&lt;1,$C657-'B. Implementation Plan'!P201&gt;0),MOD('B. Implementation Plan'!P201,1)*M637*(1-'B. Implementation Plan'!P199)*'B. Implementation Plan'!P200*(1-'B. Implementation Plan'!P198)^($C657-1),M637*(1-'B. Implementation Plan'!P199)*'B. Implementation Plan'!P200*(1-'B. Implementation Plan'!P198)^($C657-1)),0),0)</f>
        <v>0</v>
      </c>
      <c r="O657" s="347">
        <f ca="1">IF($C657&lt;=ROUNDUP('B. Implementation Plan'!P201,0),ROUND(IF(AND($C657-'B. Implementation Plan'!P201&lt;1,$C657-'B. Implementation Plan'!P201&gt;0),MOD('B. Implementation Plan'!P201,1)*N637*(1-'B. Implementation Plan'!P199)*'B. Implementation Plan'!P200*(1-'B. Implementation Plan'!P198)^($C657-1),N637*(1-'B. Implementation Plan'!P199)*'B. Implementation Plan'!P200*(1-'B. Implementation Plan'!P198)^($C657-1)),0),0)</f>
        <v>0</v>
      </c>
      <c r="P657" s="78" t="str">
        <f t="shared" ref="P657:P665" ca="1" si="416">IF(SUM(F657:O657)&gt;0,SUM(F657:O657),"")</f>
        <v/>
      </c>
    </row>
    <row r="658" spans="3:16" s="365" customFormat="1" x14ac:dyDescent="0.3">
      <c r="C658" s="370">
        <v>3</v>
      </c>
      <c r="E658"/>
      <c r="F658"/>
      <c r="G658"/>
      <c r="H658" s="347">
        <f>IF($C658&lt;=ROUNDUP('B. Implementation Plan'!P201,0),ROUND(IF(AND($C658-'B. Implementation Plan'!P201&lt;1,$C658-'B. Implementation Plan'!P201&gt;0),MOD('B. Implementation Plan'!P201,1)*(E637+F637)*(1-'B. Implementation Plan'!P199)*'B. Implementation Plan'!P200*(1-'B. Implementation Plan'!P198)^($C658-1),(E637+F637)*(1-'B. Implementation Plan'!P199)*'B. Implementation Plan'!P200*(1-'B. Implementation Plan'!P198)^($C658-1)),0),0)</f>
        <v>0</v>
      </c>
      <c r="I658" s="347">
        <f>IF($C658&lt;=ROUNDUP('B. Implementation Plan'!P201,0),ROUND(IF(AND($C658-'B. Implementation Plan'!P201&lt;1,$C658-'B. Implementation Plan'!P201&gt;0),MOD('B. Implementation Plan'!P201,1)*G637*(1-'B. Implementation Plan'!P199)*'B. Implementation Plan'!P200*(1-'B. Implementation Plan'!P198)^($C658-1),G637*(1-'B. Implementation Plan'!P199)*'B. Implementation Plan'!P200*(1-'B. Implementation Plan'!P198)^($C658-1)),0),0)</f>
        <v>0</v>
      </c>
      <c r="J658" s="347">
        <f>IF($C658&lt;=ROUNDUP('B. Implementation Plan'!P201,0),ROUND(IF(AND($C658-'B. Implementation Plan'!P201&lt;1,$C658-'B. Implementation Plan'!P201&gt;0),MOD('B. Implementation Plan'!P201,1)*H637*(1-'B. Implementation Plan'!P199)*'B. Implementation Plan'!P200*(1-'B. Implementation Plan'!P198)^($C658-1),H637*(1-'B. Implementation Plan'!P199)*'B. Implementation Plan'!P200*(1-'B. Implementation Plan'!P198)^($C658-1)),0),0)</f>
        <v>0</v>
      </c>
      <c r="K658" s="347">
        <f>IF($C658&lt;=ROUNDUP('B. Implementation Plan'!P201,0),ROUND(IF(AND($C658-'B. Implementation Plan'!P201&lt;1,$C658-'B. Implementation Plan'!P201&gt;0),MOD('B. Implementation Plan'!P201,1)*I637*(1-'B. Implementation Plan'!P199)*'B. Implementation Plan'!P200*(1-'B. Implementation Plan'!P198)^($C658-1),I637*(1-'B. Implementation Plan'!P199)*'B. Implementation Plan'!P200*(1-'B. Implementation Plan'!P198)^($C658-1)),0),0)</f>
        <v>0</v>
      </c>
      <c r="L658" s="347">
        <f>IF($C658&lt;=ROUNDUP('B. Implementation Plan'!P201,0),ROUND(IF(AND($C658-'B. Implementation Plan'!P201&lt;1,$C658-'B. Implementation Plan'!P201&gt;0),MOD('B. Implementation Plan'!P201,1)*J637*(1-'B. Implementation Plan'!P199)*'B. Implementation Plan'!P200*(1-'B. Implementation Plan'!P198)^($C658-1),J637*(1-'B. Implementation Plan'!P199)*'B. Implementation Plan'!P200*(1-'B. Implementation Plan'!P198)^($C658-1)),0),0)</f>
        <v>0</v>
      </c>
      <c r="M658" s="347">
        <f>IF($C658&lt;=ROUNDUP('B. Implementation Plan'!P201,0),ROUND(IF(AND($C658-'B. Implementation Plan'!P201&lt;1,$C658-'B. Implementation Plan'!P201&gt;0),MOD('B. Implementation Plan'!P201,1)*K637*(1-'B. Implementation Plan'!P199)*'B. Implementation Plan'!P200*(1-'B. Implementation Plan'!P198)^($C658-1),K637*(1-'B. Implementation Plan'!P199)*'B. Implementation Plan'!P200*(1-'B. Implementation Plan'!P198)^($C658-1)),0),0)</f>
        <v>0</v>
      </c>
      <c r="N658" s="347">
        <f>IF($C658&lt;=ROUNDUP('B. Implementation Plan'!P201,0),ROUND(IF(AND($C658-'B. Implementation Plan'!P201&lt;1,$C658-'B. Implementation Plan'!P201&gt;0),MOD('B. Implementation Plan'!P201,1)*L637*(1-'B. Implementation Plan'!P199)*'B. Implementation Plan'!P200*(1-'B. Implementation Plan'!P198)^($C658-1),L637*(1-'B. Implementation Plan'!P199)*'B. Implementation Plan'!P200*(1-'B. Implementation Plan'!P198)^($C658-1)),0),0)</f>
        <v>0</v>
      </c>
      <c r="O658" s="347">
        <f>IF($C658&lt;=ROUNDUP('B. Implementation Plan'!P201,0),ROUND(IF(AND($C658-'B. Implementation Plan'!P201&lt;1,$C658-'B. Implementation Plan'!P201&gt;0),MOD('B. Implementation Plan'!P201,1)*M637*(1-'B. Implementation Plan'!P199)*'B. Implementation Plan'!P200*(1-'B. Implementation Plan'!P198)^($C658-1),M637*(1-'B. Implementation Plan'!P199)*'B. Implementation Plan'!P200*(1-'B. Implementation Plan'!P198)^($C658-1)),0),0)</f>
        <v>0</v>
      </c>
      <c r="P658" s="78" t="str">
        <f t="shared" si="416"/>
        <v/>
      </c>
    </row>
    <row r="659" spans="3:16" s="365" customFormat="1" x14ac:dyDescent="0.3">
      <c r="C659" s="370">
        <v>4</v>
      </c>
      <c r="D659" s="365" t="s">
        <v>361</v>
      </c>
      <c r="E659"/>
      <c r="F659"/>
      <c r="G659"/>
      <c r="H659"/>
      <c r="I659" s="347">
        <f>IF($C659&lt;=ROUNDUP('B. Implementation Plan'!P201,0),ROUND(IF(AND($C659-'B. Implementation Plan'!P201&lt;1,$C659-'B. Implementation Plan'!P201&gt;0),MOD('B. Implementation Plan'!P201,1)*(E637+F637)*(1-'B. Implementation Plan'!P199)*'B. Implementation Plan'!P200*(1-'B. Implementation Plan'!P198)^($C659-1),(E637+F637)*(1-'B. Implementation Plan'!P199)*'B. Implementation Plan'!P200*(1-'B. Implementation Plan'!P198)^($C659-1)),0),0)</f>
        <v>0</v>
      </c>
      <c r="J659" s="347">
        <f>IF($C659&lt;=ROUNDUP('B. Implementation Plan'!P201,0),ROUND(IF(AND($C659-'B. Implementation Plan'!P201&lt;1,$C659-'B. Implementation Plan'!P201&gt;0),MOD('B. Implementation Plan'!P201,1)*G637*(1-'B. Implementation Plan'!P199)*'B. Implementation Plan'!P200*(1-'B. Implementation Plan'!P198)^($C659-1),G637*(1-'B. Implementation Plan'!P199)*'B. Implementation Plan'!P200*(1-'B. Implementation Plan'!P198)^($C659-1)),0),0)</f>
        <v>0</v>
      </c>
      <c r="K659" s="347">
        <f>IF($C659&lt;=ROUNDUP('B. Implementation Plan'!P201,0),ROUND(IF(AND($C659-'B. Implementation Plan'!P201&lt;1,$C659-'B. Implementation Plan'!P201&gt;0),MOD('B. Implementation Plan'!P201,1)*H637*(1-'B. Implementation Plan'!P199)*'B. Implementation Plan'!P200*(1-'B. Implementation Plan'!P198)^($C659-1),H637*(1-'B. Implementation Plan'!P199)*'B. Implementation Plan'!P200*(1-'B. Implementation Plan'!P198)^($C659-1)),0),0)</f>
        <v>0</v>
      </c>
      <c r="L659" s="347">
        <f>IF($C659&lt;=ROUNDUP('B. Implementation Plan'!P201,0),ROUND(IF(AND($C659-'B. Implementation Plan'!P201&lt;1,$C659-'B. Implementation Plan'!P201&gt;0),MOD('B. Implementation Plan'!P201,1)*I637*(1-'B. Implementation Plan'!P199)*'B. Implementation Plan'!P200*(1-'B. Implementation Plan'!P198)^($C659-1),I637*(1-'B. Implementation Plan'!P199)*'B. Implementation Plan'!P200*(1-'B. Implementation Plan'!P198)^($C659-1)),0),0)</f>
        <v>0</v>
      </c>
      <c r="M659" s="347">
        <f>IF($C659&lt;=ROUNDUP('B. Implementation Plan'!P201,0),ROUND(IF(AND($C659-'B. Implementation Plan'!P201&lt;1,$C659-'B. Implementation Plan'!P201&gt;0),MOD('B. Implementation Plan'!P201,1)*J637*(1-'B. Implementation Plan'!P199)*'B. Implementation Plan'!P200*(1-'B. Implementation Plan'!P198)^($C659-1),J637*(1-'B. Implementation Plan'!P199)*'B. Implementation Plan'!P200*(1-'B. Implementation Plan'!P198)^($C659-1)),0),0)</f>
        <v>0</v>
      </c>
      <c r="N659" s="347">
        <f>IF($C659&lt;=ROUNDUP('B. Implementation Plan'!P201,0),ROUND(IF(AND($C659-'B. Implementation Plan'!P201&lt;1,$C659-'B. Implementation Plan'!P201&gt;0),MOD('B. Implementation Plan'!P201,1)*K637*(1-'B. Implementation Plan'!P199)*'B. Implementation Plan'!P200*(1-'B. Implementation Plan'!P198)^($C659-1),K637*(1-'B. Implementation Plan'!P199)*'B. Implementation Plan'!P200*(1-'B. Implementation Plan'!P198)^($C659-1)),0),0)</f>
        <v>0</v>
      </c>
      <c r="O659" s="347">
        <f>IF($C659&lt;=ROUNDUP('B. Implementation Plan'!P201,0),ROUND(IF(AND($C659-'B. Implementation Plan'!P201&lt;1,$C659-'B. Implementation Plan'!P201&gt;0),MOD('B. Implementation Plan'!P201,1)*L637*(1-'B. Implementation Plan'!P199)*'B. Implementation Plan'!P200*(1-'B. Implementation Plan'!P198)^($C659-1),L637*(1-'B. Implementation Plan'!P199)*'B. Implementation Plan'!P200*(1-'B. Implementation Plan'!P198)^($C659-1)),0),0)</f>
        <v>0</v>
      </c>
      <c r="P659" s="78" t="str">
        <f t="shared" si="416"/>
        <v/>
      </c>
    </row>
    <row r="660" spans="3:16" s="365" customFormat="1" x14ac:dyDescent="0.3">
      <c r="C660" s="370">
        <v>5</v>
      </c>
      <c r="E660"/>
      <c r="F660"/>
      <c r="G660"/>
      <c r="H660"/>
      <c r="I660"/>
      <c r="J660" s="347">
        <f>IF($C660&lt;=ROUNDUP('B. Implementation Plan'!P201,0),ROUND(IF(AND($C660-'B. Implementation Plan'!P201&lt;1,$C660-'B. Implementation Plan'!P201&gt;0),MOD('B. Implementation Plan'!P201,1)*(E637+F637)*(1-'B. Implementation Plan'!P199)*'B. Implementation Plan'!P200*(1-'B. Implementation Plan'!P198)^($C660-1),(E637+F637)*(1-'B. Implementation Plan'!P199)*'B. Implementation Plan'!P200*(1-'B. Implementation Plan'!P198)^($C660-1)),0),0)</f>
        <v>0</v>
      </c>
      <c r="K660" s="347">
        <f>IF($C660&lt;=ROUNDUP('B. Implementation Plan'!P201,0),ROUND(IF(AND($C660-'B. Implementation Plan'!P201&lt;1,$C660-'B. Implementation Plan'!P201&gt;0),MOD('B. Implementation Plan'!P201,1)*G637*(1-'B. Implementation Plan'!P199)*'B. Implementation Plan'!P200*(1-'B. Implementation Plan'!P198)^($C660-1),G637*(1-'B. Implementation Plan'!P199)*'B. Implementation Plan'!P200*(1-'B. Implementation Plan'!P198)^($C660-1)),0),0)</f>
        <v>0</v>
      </c>
      <c r="L660" s="347">
        <f>IF($C660&lt;=ROUNDUP('B. Implementation Plan'!P201,0),ROUND(IF(AND($C660-'B. Implementation Plan'!P201&lt;1,$C660-'B. Implementation Plan'!P201&gt;0),MOD('B. Implementation Plan'!P201,1)*H637*(1-'B. Implementation Plan'!P199)*'B. Implementation Plan'!P200*(1-'B. Implementation Plan'!P198)^($C660-1),H637*(1-'B. Implementation Plan'!P199)*'B. Implementation Plan'!P200*(1-'B. Implementation Plan'!P198)^($C660-1)),0),0)</f>
        <v>0</v>
      </c>
      <c r="M660" s="347">
        <f>IF($C660&lt;=ROUNDUP('B. Implementation Plan'!P201,0),ROUND(IF(AND($C660-'B. Implementation Plan'!P201&lt;1,$C660-'B. Implementation Plan'!P201&gt;0),MOD('B. Implementation Plan'!P201,1)*I637*(1-'B. Implementation Plan'!P199)*'B. Implementation Plan'!P200*(1-'B. Implementation Plan'!P198)^($C660-1),I637*(1-'B. Implementation Plan'!P199)*'B. Implementation Plan'!P200*(1-'B. Implementation Plan'!P198)^($C660-1)),0),0)</f>
        <v>0</v>
      </c>
      <c r="N660" s="347">
        <f>IF($C660&lt;=ROUNDUP('B. Implementation Plan'!P201,0),ROUND(IF(AND($C660-'B. Implementation Plan'!P201&lt;1,$C660-'B. Implementation Plan'!P201&gt;0),MOD('B. Implementation Plan'!P201,1)*J637*(1-'B. Implementation Plan'!P199)*'B. Implementation Plan'!P200*(1-'B. Implementation Plan'!P198)^($C660-1),J637*(1-'B. Implementation Plan'!P199)*'B. Implementation Plan'!P200*(1-'B. Implementation Plan'!P198)^($C660-1)),0),0)</f>
        <v>0</v>
      </c>
      <c r="O660" s="347">
        <f>IF($C660&lt;=ROUNDUP('B. Implementation Plan'!P201,0),ROUND(IF(AND($C660-'B. Implementation Plan'!P201&lt;1,$C660-'B. Implementation Plan'!P201&gt;0),MOD('B. Implementation Plan'!P201,1)*O637*(1-'B. Implementation Plan'!P199)*'B. Implementation Plan'!P200*(1-'B. Implementation Plan'!P198)^C660,O637*(1-'B. Implementation Plan'!P199)*'B. Implementation Plan'!P200*(1-'B. Implementation Plan'!P198)^($C660-1)),0),0)</f>
        <v>0</v>
      </c>
      <c r="P660" s="78" t="str">
        <f t="shared" si="416"/>
        <v/>
      </c>
    </row>
    <row r="661" spans="3:16" s="365" customFormat="1" x14ac:dyDescent="0.3">
      <c r="C661" s="370">
        <v>6</v>
      </c>
      <c r="E661"/>
      <c r="F661"/>
      <c r="G661"/>
      <c r="H661"/>
      <c r="I661"/>
      <c r="J661"/>
      <c r="K661" s="347">
        <f>IF($C661&lt;=ROUNDUP('B. Implementation Plan'!P201,0),ROUND(IF(AND($C661-'B. Implementation Plan'!P201&lt;1,$C661-'B. Implementation Plan'!P201&gt;0),MOD('B. Implementation Plan'!P201,1)*(E637+F637)*(1-'B. Implementation Plan'!P199)*'B. Implementation Plan'!P200*(1-'B. Implementation Plan'!P198)^($C661-1),(E637+F637)*(1-'B. Implementation Plan'!P199)*'B. Implementation Plan'!P200*(1-'B. Implementation Plan'!P198)^($C661-1)),0),0)</f>
        <v>0</v>
      </c>
      <c r="L661" s="347">
        <f>IF($C661&lt;=ROUNDUP('B. Implementation Plan'!P201,0),ROUND(IF(AND($C661-'B. Implementation Plan'!P201&lt;1,$C661-'B. Implementation Plan'!P201&gt;0),MOD('B. Implementation Plan'!P201,1)*G637*(1-'B. Implementation Plan'!P199)*'B. Implementation Plan'!P200*(1-'B. Implementation Plan'!P198)^($C661-1),G637*(1-'B. Implementation Plan'!P199)*'B. Implementation Plan'!P200*(1-'B. Implementation Plan'!P198)^($C661-1)),0),0)</f>
        <v>0</v>
      </c>
      <c r="M661" s="347">
        <f>IF($C661&lt;=ROUNDUP('B. Implementation Plan'!P201,0),ROUND(IF(AND($C661-'B. Implementation Plan'!P201&lt;1,$C661-'B. Implementation Plan'!P201&gt;0),MOD('B. Implementation Plan'!P201,1)*H637*(1-'B. Implementation Plan'!P199)*'B. Implementation Plan'!P200*(1-'B. Implementation Plan'!P198)^($C661-1),H637*(1-'B. Implementation Plan'!P199)*'B. Implementation Plan'!P200*(1-'B. Implementation Plan'!P198)^($C661-1)),0),0)</f>
        <v>0</v>
      </c>
      <c r="N661" s="347">
        <f>IF($C661&lt;=ROUNDUP('B. Implementation Plan'!P201,0),ROUND(IF(AND($C661-'B. Implementation Plan'!P201&lt;1,$C661-'B. Implementation Plan'!P201&gt;0),MOD('B. Implementation Plan'!P201,1)*I637*(1-'B. Implementation Plan'!P199)*'B. Implementation Plan'!P200*(1-'B. Implementation Plan'!P198)^($C661-1),I637*(1-'B. Implementation Plan'!P199)*'B. Implementation Plan'!P200*(1-'B. Implementation Plan'!P198)^($C661-1)),0),0)</f>
        <v>0</v>
      </c>
      <c r="O661" s="347">
        <f>IF($C661&lt;=ROUNDUP('B. Implementation Plan'!P201,0),ROUND(IF(AND($C661-'B. Implementation Plan'!P201&lt;1,$C661-'B. Implementation Plan'!P201&gt;0),MOD('B. Implementation Plan'!P201,1)*J637*(1-'B. Implementation Plan'!P199)*'B. Implementation Plan'!P200*(1-'B. Implementation Plan'!P198)^($C661-1),J637*(1-'B. Implementation Plan'!P199)*'B. Implementation Plan'!P200*(1-'B. Implementation Plan'!P198)^($C661-1)),0),0)</f>
        <v>0</v>
      </c>
      <c r="P661" s="78" t="str">
        <f t="shared" si="416"/>
        <v/>
      </c>
    </row>
    <row r="662" spans="3:16" s="365" customFormat="1" x14ac:dyDescent="0.3">
      <c r="C662" s="370">
        <v>7</v>
      </c>
      <c r="E662"/>
      <c r="F662"/>
      <c r="G662"/>
      <c r="H662"/>
      <c r="I662"/>
      <c r="J662"/>
      <c r="K662"/>
      <c r="L662" s="347">
        <f>IF($C662&lt;=ROUNDUP('B. Implementation Plan'!P201,0),ROUND(IF(AND($C662-'B. Implementation Plan'!P201&lt;1,$C662-'B. Implementation Plan'!P201&gt;0),MOD('B. Implementation Plan'!P201,1)*(E637+F637)*(1-'B. Implementation Plan'!P199)*'B. Implementation Plan'!P200*(1-'B. Implementation Plan'!P198)^($C662-1),(E637+F637)*(1-'B. Implementation Plan'!P199)*'B. Implementation Plan'!P200*(1-'B. Implementation Plan'!P198)^($C662-1)),0),0)</f>
        <v>0</v>
      </c>
      <c r="M662" s="347">
        <f>IF($C662&lt;=ROUNDUP('B. Implementation Plan'!P201,0),ROUND(IF(AND($C662-'B. Implementation Plan'!P201&lt;1,$C662-'B. Implementation Plan'!P201&gt;0),MOD('B. Implementation Plan'!P201,1)*G637*(1-'B. Implementation Plan'!P199)*'B. Implementation Plan'!P200*(1-'B. Implementation Plan'!P198)^($C662-1),G637*(1-'B. Implementation Plan'!P199)*'B. Implementation Plan'!P200*(1-'B. Implementation Plan'!P198)^($C662-1)),0),0)</f>
        <v>0</v>
      </c>
      <c r="N662" s="347">
        <f>IF($C662&lt;=ROUNDUP('B. Implementation Plan'!P201,0),ROUND(IF(AND($C662-'B. Implementation Plan'!P201&lt;1,$C662-'B. Implementation Plan'!P201&gt;0),MOD('B. Implementation Plan'!P201,1)*H637*(1-'B. Implementation Plan'!P199)*'B. Implementation Plan'!P200*(1-'B. Implementation Plan'!P198)^($C662-1),H637*(1-'B. Implementation Plan'!P199)*'B. Implementation Plan'!P200*(1-'B. Implementation Plan'!P198)^($C662-1)),0),0)</f>
        <v>0</v>
      </c>
      <c r="O662" s="347">
        <f>IF($C662&lt;=ROUNDUP('B. Implementation Plan'!P201,0),ROUND(IF(AND($C662-'B. Implementation Plan'!P201&lt;1,$C662-'B. Implementation Plan'!P201&gt;0),MOD('B. Implementation Plan'!P201,1)*I637*(1-'B. Implementation Plan'!P199)*'B. Implementation Plan'!P200*(1-'B. Implementation Plan'!P198)^($C662-1),I637*(1-'B. Implementation Plan'!P199)*'B. Implementation Plan'!P200*(1-'B. Implementation Plan'!P198)^($C662-1)),0),0)</f>
        <v>0</v>
      </c>
      <c r="P662" s="78" t="str">
        <f t="shared" si="416"/>
        <v/>
      </c>
    </row>
    <row r="663" spans="3:16" s="365" customFormat="1" x14ac:dyDescent="0.3">
      <c r="C663" s="370">
        <v>8</v>
      </c>
      <c r="E663"/>
      <c r="F663"/>
      <c r="G663"/>
      <c r="H663"/>
      <c r="I663"/>
      <c r="J663"/>
      <c r="K663"/>
      <c r="L663"/>
      <c r="M663" s="347">
        <f>IF($C663&lt;=ROUNDUP('B. Implementation Plan'!P201,0),ROUND(IF(AND($C663-'B. Implementation Plan'!P201&lt;1,$C663-'B. Implementation Plan'!P201&gt;0),MOD('B. Implementation Plan'!P201,1)*(E637+F637)*(1-'B. Implementation Plan'!P199)*'B. Implementation Plan'!P200*(1-'B. Implementation Plan'!P198)^($C663-1),(E637+F637)*(1-'B. Implementation Plan'!P199)*'B. Implementation Plan'!P200*(1-'B. Implementation Plan'!P198)^($C663-1)),0),0)</f>
        <v>0</v>
      </c>
      <c r="N663" s="347">
        <f>IF($C663&lt;=ROUNDUP('B. Implementation Plan'!P201,0),ROUND(IF(AND($C663-'B. Implementation Plan'!P201&lt;1,$C663-'B. Implementation Plan'!P201&gt;0),MOD('B. Implementation Plan'!P201,1)*G637*(1-'B. Implementation Plan'!P199)*'B. Implementation Plan'!P200*(1-'B. Implementation Plan'!P198)^($C663-1),G637*(1-'B. Implementation Plan'!P199)*'B. Implementation Plan'!P200*(1-'B. Implementation Plan'!P198)^($C663-1)),0),0)</f>
        <v>0</v>
      </c>
      <c r="O663" s="347">
        <f>IF($C663&lt;=ROUNDUP('B. Implementation Plan'!P201,0),ROUND(IF(AND($C663-'B. Implementation Plan'!P201&lt;1,$C663-'B. Implementation Plan'!P201&gt;0),MOD('B. Implementation Plan'!P201,1)*H637*(1-'B. Implementation Plan'!P199)*'B. Implementation Plan'!P200*(1-'B. Implementation Plan'!P198)^($C663-1),H637*(1-'B. Implementation Plan'!P199)*'B. Implementation Plan'!P200*(1-'B. Implementation Plan'!P198)^($C663-1)),0),0)</f>
        <v>0</v>
      </c>
      <c r="P663" s="78" t="str">
        <f t="shared" si="416"/>
        <v/>
      </c>
    </row>
    <row r="664" spans="3:16" s="365" customFormat="1" x14ac:dyDescent="0.3">
      <c r="C664" s="370">
        <v>9</v>
      </c>
      <c r="E664"/>
      <c r="F664"/>
      <c r="G664"/>
      <c r="H664"/>
      <c r="I664"/>
      <c r="J664"/>
      <c r="K664"/>
      <c r="L664"/>
      <c r="M664"/>
      <c r="N664" s="347">
        <f>IF($C664&lt;=ROUNDUP('B. Implementation Plan'!P201,0),ROUND(IF(AND($C664-'B. Implementation Plan'!P201&lt;1,$C664-'B. Implementation Plan'!P201&gt;0),MOD('B. Implementation Plan'!P201,1)*(E637+F637)*(1-'B. Implementation Plan'!P199)*'B. Implementation Plan'!P200*(1-'B. Implementation Plan'!P198)^($C664-1),(E637+F637)*(1-'B. Implementation Plan'!P199)*'B. Implementation Plan'!P200*(1-'B. Implementation Plan'!P198)^($C664-1)),0),0)</f>
        <v>0</v>
      </c>
      <c r="O664" s="347">
        <f>IF($C664&lt;=ROUNDUP('B. Implementation Plan'!P201,0),ROUND(IF(AND($C664-'B. Implementation Plan'!P201&lt;1,$C664-'B. Implementation Plan'!P201&gt;0),MOD('B. Implementation Plan'!P201,1)*G637*(1-'B. Implementation Plan'!P199)*'B. Implementation Plan'!P200*(1-'B. Implementation Plan'!P198)^($C664-1),G637*(1-'B. Implementation Plan'!P199)*'B. Implementation Plan'!P200*(1-'B. Implementation Plan'!P198)^($C664-1)),0),0)</f>
        <v>0</v>
      </c>
      <c r="P664" s="78" t="str">
        <f t="shared" si="416"/>
        <v/>
      </c>
    </row>
    <row r="665" spans="3:16" s="365" customFormat="1" x14ac:dyDescent="0.3">
      <c r="C665" s="370">
        <v>10</v>
      </c>
      <c r="E665"/>
      <c r="F665"/>
      <c r="G665"/>
      <c r="H665"/>
      <c r="I665"/>
      <c r="J665"/>
      <c r="K665"/>
      <c r="L665"/>
      <c r="M665"/>
      <c r="N665" s="19"/>
      <c r="O665" s="347">
        <f>IF($C665&lt;=ROUNDUP('B. Implementation Plan'!P201,0),ROUND(IF(AND($C665-'B. Implementation Plan'!P201&lt;1,$C665-'B. Implementation Plan'!P201&gt;0),MOD('B. Implementation Plan'!P201,1)*(E637+F637)*(1-'B. Implementation Plan'!P199)*'B. Implementation Plan'!P200*(1-'B. Implementation Plan'!P198)^($C665-1),(E637+F637)*(1-'B. Implementation Plan'!P199)*'B. Implementation Plan'!P200*(1-'B. Implementation Plan'!P198)^($C665-1)),0),0)</f>
        <v>0</v>
      </c>
      <c r="P665" s="78" t="str">
        <f t="shared" si="416"/>
        <v/>
      </c>
    </row>
    <row r="666" spans="3:16" s="1" customFormat="1" x14ac:dyDescent="0.3">
      <c r="C666" s="376" t="s">
        <v>515</v>
      </c>
      <c r="E666"/>
      <c r="F666" s="371">
        <f t="shared" ref="F666:O666" ca="1" si="417">IF(F632&gt;0,SUM(F656:F665),0)</f>
        <v>0</v>
      </c>
      <c r="G666" s="371">
        <f t="shared" ca="1" si="417"/>
        <v>0</v>
      </c>
      <c r="H666" s="371">
        <f t="shared" ca="1" si="417"/>
        <v>0</v>
      </c>
      <c r="I666" s="371">
        <f t="shared" ca="1" si="417"/>
        <v>0</v>
      </c>
      <c r="J666" s="371">
        <f t="shared" ca="1" si="417"/>
        <v>0</v>
      </c>
      <c r="K666" s="371">
        <f t="shared" ca="1" si="417"/>
        <v>0</v>
      </c>
      <c r="L666" s="371">
        <f t="shared" ca="1" si="417"/>
        <v>0</v>
      </c>
      <c r="M666" s="371">
        <f t="shared" ca="1" si="417"/>
        <v>0</v>
      </c>
      <c r="N666" s="371">
        <f t="shared" ca="1" si="417"/>
        <v>0</v>
      </c>
      <c r="O666" s="371">
        <f t="shared" ca="1" si="417"/>
        <v>0</v>
      </c>
      <c r="P666" s="325">
        <f ca="1">SUM(E666:O666)</f>
        <v>0</v>
      </c>
    </row>
    <row r="667" spans="3:16" s="1" customFormat="1" x14ac:dyDescent="0.3">
      <c r="C667" s="353" t="s">
        <v>517</v>
      </c>
      <c r="E667"/>
      <c r="F667" s="324">
        <f ca="1">MIN(IFERROR(ROUNDUP(IF(F632&gt;0,INDEX(F656:F665,MATCH(9.99999999999999E+307,P656:P665))/IF(MOD('B. Implementation Plan'!P201,1)=0,1,MOD('B. Implementation Plan'!P201,1)),0),0),0),MAX(E656:E665))</f>
        <v>0</v>
      </c>
      <c r="G667" s="324">
        <f ca="1">MIN(IFERROR(ROUNDUP(IF(G632&gt;0,INDEX(G656:G665,MATCH(9.99999999999999E+307,P656:P665))/IF(MOD('B. Implementation Plan'!P201,1)=0,1,MOD('B. Implementation Plan'!P201,1)),0),0),0),MAX(E656:F665))</f>
        <v>0</v>
      </c>
      <c r="H667" s="324">
        <f ca="1">MIN(IFERROR(ROUNDUP(IF(H632&gt;0,INDEX(H656:H665,MATCH(9.99999999999999E+307,P656:P665))/IF(MOD('B. Implementation Plan'!P201,1)=0,1,MOD('B. Implementation Plan'!P201,1)),0),0),0),MAX(E656:G665))</f>
        <v>0</v>
      </c>
      <c r="I667" s="324">
        <f ca="1">MIN(IFERROR(ROUNDUP(IF(I632&gt;0,INDEX(I656:I665,MATCH(9.99999999999999E+307,P656:P665))/IF(MOD('B. Implementation Plan'!P201,1)=0,1,MOD('B. Implementation Plan'!P201,1)),0),0),0),MAX(E656:H665))</f>
        <v>0</v>
      </c>
      <c r="J667" s="324">
        <f ca="1">MIN(IFERROR(ROUNDUP(IF(J632&gt;0,INDEX(J656:J665,MATCH(9.99999999999999E+307,P656:P665))/IF(MOD('B. Implementation Plan'!P201,1)=0,1,MOD('B. Implementation Plan'!P201,1)),0),0),0),MAX(E656:I665))</f>
        <v>0</v>
      </c>
      <c r="K667" s="324">
        <f ca="1">MIN(IFERROR(ROUNDUP(IF(K632&gt;0,INDEX(K656:K665,MATCH(9.99999999999999E+307,P656:P665))/IF(MOD('B. Implementation Plan'!P201,1)=0,1,MOD('B. Implementation Plan'!P201,1)),0),0),0),MAX(E656:J665))</f>
        <v>0</v>
      </c>
      <c r="L667" s="324">
        <f ca="1">MIN(IFERROR(ROUNDUP(IF(L632&gt;0,INDEX(L656:L665,MATCH(9.99999999999999E+307,P656:P665))/IF(MOD('B. Implementation Plan'!P201,1)=0,1,MOD('B. Implementation Plan'!P201,1)),0),0),0),MAX(E656:K665))</f>
        <v>0</v>
      </c>
      <c r="M667" s="324">
        <f ca="1">MIN(IFERROR(ROUNDUP(IF(M632&gt;0,INDEX(M656:M665,MATCH(9.99999999999999E+307,P656:P665))/IF(MOD('B. Implementation Plan'!P201,1)=0,1,MOD('B. Implementation Plan'!P201,1)),0),0),0),MAX(E656:L665))</f>
        <v>0</v>
      </c>
      <c r="N667" s="324">
        <f ca="1">MIN(IFERROR(ROUNDUP(IF(N632&gt;0,INDEX(N656:N665,MATCH(9.99999999999999E+307,P656:P665))/IF(MOD('B. Implementation Plan'!P201,1)=0,1,MOD('B. Implementation Plan'!P201,1)),0),0),0),MAX(E656:M665))</f>
        <v>0</v>
      </c>
      <c r="O667" s="324">
        <f ca="1">MIN(IFERROR(ROUNDUP(IF(O632&gt;0,INDEX(O656:O665,MATCH(9.99999999999999E+307,P656:P665))/IF(MOD('B. Implementation Plan'!P201,1)=0,1,MOD('B. Implementation Plan'!P201,1)),0),0),0),MAX(E656:N665))</f>
        <v>0</v>
      </c>
      <c r="P667" s="325">
        <f ca="1">SUM(E667:O667)</f>
        <v>0</v>
      </c>
    </row>
    <row r="668" spans="3:16" s="365" customFormat="1" x14ac:dyDescent="0.3">
      <c r="C668" s="326" t="s">
        <v>516</v>
      </c>
      <c r="E668"/>
      <c r="F668" s="347">
        <f ca="1">ROUNDUP(IF(F632&gt;0,IF(SUM(E667:F667,E668:E668)*'B. Implementation Plan'!P198&gt;P667,0,-ROUND(SUM(E667:F667,E668:E668)*'B. Implementation Plan'!P198,0)),0),0)</f>
        <v>0</v>
      </c>
      <c r="G668" s="347">
        <f ca="1">ROUNDUP(IF(G632&gt;0,IF(SUM(E667:G667,E668:F668)*'B. Implementation Plan'!P198&gt;P667,0,-ROUND(SUM(E667:G667,E668:F668)*'B. Implementation Plan'!P198,0)),0),0)</f>
        <v>0</v>
      </c>
      <c r="H668" s="347">
        <f ca="1">ROUNDUP(IF(H632&gt;0,IF(SUM(E667:H667,E668:G668)*'B. Implementation Plan'!P198&gt;P667,0,-ROUND(SUM(E667:H667,E668:G668)*'B. Implementation Plan'!P198,0)),0),0)</f>
        <v>0</v>
      </c>
      <c r="I668" s="347">
        <f ca="1">ROUNDUP(IF(I632&gt;0,IF(SUM(E667:I667,E668:H668)*'B. Implementation Plan'!P198&gt;P667,0,-ROUND(SUM(E667:I667,E668:H668)*'B. Implementation Plan'!P198,0)),0),0)</f>
        <v>0</v>
      </c>
      <c r="J668" s="347">
        <f ca="1">ROUNDUP(IF(J632&gt;0,IF(SUM(E667:J667,E668:I668)*'B. Implementation Plan'!P198&gt;P667,0,-ROUND(SUM(E667:J667,E668:I668)*'B. Implementation Plan'!P198,0)),0),0)</f>
        <v>0</v>
      </c>
      <c r="K668" s="347">
        <f ca="1">ROUNDUP(IF(K632&gt;0,IF(SUM(E667:K667,E668:J668)*'B. Implementation Plan'!P198&gt;P667,0,-ROUND(SUM(E667:K667,E668:J668)*'B. Implementation Plan'!P198,0)),0),0)</f>
        <v>0</v>
      </c>
      <c r="L668" s="347">
        <f ca="1">ROUNDUP(IF(L632&gt;0,IF(SUM(E667:L667,E668:K668)*'B. Implementation Plan'!P198&gt;P667,0,-ROUND(SUM(E667:L667,E668:K668)*'B. Implementation Plan'!P198,0)),0),0)</f>
        <v>0</v>
      </c>
      <c r="M668" s="347">
        <f ca="1">ROUNDUP(IF(M632&gt;0,IF(SUM(E667:M667,E668:L668)*'B. Implementation Plan'!P198&gt;P667,0,-ROUND(SUM(E667:M667,E668:L668)*'B. Implementation Plan'!P198,0)),0),0)</f>
        <v>0</v>
      </c>
      <c r="N668" s="347">
        <f ca="1">ROUNDUP(IF(N632&gt;0,IF(SUM(E667:N667,E668:M668)*'B. Implementation Plan'!P198&gt;P667,0,-ROUND(SUM(E667:N667,E668:M668)*'B. Implementation Plan'!P198,0)),0),0)</f>
        <v>0</v>
      </c>
      <c r="O668" s="347">
        <f ca="1">ROUNDUP(IF(O632&gt;0,IF(SUM(E667:O667,E668:N668)*'B. Implementation Plan'!P198&gt;P667,0,-ROUND(SUM(E667:O667,E668:N668)*'B. Implementation Plan'!P198,0)),0),0)</f>
        <v>0</v>
      </c>
      <c r="P668" s="354">
        <f ca="1">SUM(E668:O668)</f>
        <v>0</v>
      </c>
    </row>
    <row r="669" spans="3:16" s="365" customFormat="1" ht="15" thickBot="1" x14ac:dyDescent="0.35">
      <c r="C669" s="326" t="s">
        <v>518</v>
      </c>
      <c r="E669"/>
      <c r="F669" s="347">
        <f ca="1">IF(F632&gt;0,SUM(E667:F668),0)</f>
        <v>0</v>
      </c>
      <c r="G669" s="347">
        <f ca="1">IF(G632&gt;0,SUM(E667:G668),0)</f>
        <v>0</v>
      </c>
      <c r="H669" s="347">
        <f ca="1">IF(H632&gt;0,SUM(E667:H668),0)</f>
        <v>0</v>
      </c>
      <c r="I669" s="347">
        <f ca="1">IF(I632&gt;0,SUM(E667:I668),0)</f>
        <v>0</v>
      </c>
      <c r="J669" s="347">
        <f ca="1">IF(J632&gt;0,SUM(E667:J668),0)</f>
        <v>0</v>
      </c>
      <c r="K669" s="347">
        <f ca="1">IF(K632&gt;0,SUM(E667:K668),0)</f>
        <v>0</v>
      </c>
      <c r="L669" s="347">
        <f ca="1">IF(L632&gt;0,SUM(E667:L668),0)</f>
        <v>0</v>
      </c>
      <c r="M669" s="347">
        <f ca="1">IF(M632&gt;0,SUM(E667:M668),0)</f>
        <v>0</v>
      </c>
      <c r="N669" s="347">
        <f ca="1">IF(N632&gt;0,SUM(E667:N668),0)</f>
        <v>0</v>
      </c>
      <c r="O669" s="369">
        <f ca="1">IF(O632&gt;0,SUM(E667:O668),0)</f>
        <v>0</v>
      </c>
      <c r="P669" s="375">
        <f t="shared" ref="P669" ca="1" si="418">IF(O669=0,IF(N669=0,IF(M669=0,IF(L669=0,IF(K669=0,IF(J669=0,IF(I669=0,IF(H669=0,IF(G669=0,IF(F669=0,E669,F669),G669),H669),I669),J669),K669),L669),M669),N669),O669)</f>
        <v>0</v>
      </c>
    </row>
    <row r="670" spans="3:16" ht="16.2" thickBot="1" x14ac:dyDescent="0.35">
      <c r="C670" s="16" t="s">
        <v>521</v>
      </c>
      <c r="E670" s="149">
        <v>0</v>
      </c>
      <c r="F670" s="149">
        <v>1</v>
      </c>
      <c r="G670" s="149">
        <v>2</v>
      </c>
      <c r="H670" s="149">
        <v>3</v>
      </c>
      <c r="I670" s="149">
        <v>4</v>
      </c>
      <c r="J670" s="149">
        <v>5</v>
      </c>
      <c r="K670" s="149">
        <v>6</v>
      </c>
      <c r="L670" s="149">
        <v>7</v>
      </c>
      <c r="M670" s="149">
        <v>8</v>
      </c>
      <c r="N670" s="149">
        <v>9</v>
      </c>
      <c r="O670" s="149">
        <v>10</v>
      </c>
      <c r="P670"/>
    </row>
    <row r="671" spans="3:16" s="1" customFormat="1" x14ac:dyDescent="0.3">
      <c r="C671" s="326" t="s">
        <v>527</v>
      </c>
      <c r="E671" s="372">
        <f ca="1">ROUNDUP(E634*'B. Implementation Plan'!G192+(E632-E634)*'B. Implementation Plan'!P199,0)</f>
        <v>0</v>
      </c>
      <c r="F671" s="372">
        <f ca="1">ROUNDUP(F634*'B. Implementation Plan'!G192+(F632-F634)*'B. Implementation Plan'!P199,0)</f>
        <v>0</v>
      </c>
      <c r="G671" s="372">
        <f ca="1">ROUNDUP(G634*'B. Implementation Plan'!G192+(G632-G634)*'B. Implementation Plan'!P199,0)</f>
        <v>0</v>
      </c>
      <c r="H671" s="372">
        <f ca="1">ROUNDUP(H634*'B. Implementation Plan'!G192+(H632-H634)*'B. Implementation Plan'!P199,0)</f>
        <v>0</v>
      </c>
      <c r="I671" s="372">
        <f ca="1">ROUNDUP(I634*'B. Implementation Plan'!G192+(I632-I634)*'B. Implementation Plan'!P199,0)</f>
        <v>0</v>
      </c>
      <c r="J671" s="372">
        <f ca="1">ROUNDUP(J634*'B. Implementation Plan'!G192+(J632-J634)*'B. Implementation Plan'!P199,0)</f>
        <v>0</v>
      </c>
      <c r="K671" s="372">
        <f ca="1">ROUNDUP(K634*'B. Implementation Plan'!G192+(K632-K634)*'B. Implementation Plan'!P199,0)</f>
        <v>0</v>
      </c>
      <c r="L671" s="372">
        <f ca="1">ROUNDUP(L634*'B. Implementation Plan'!G192+(L632-L634)*'B. Implementation Plan'!P199,0)</f>
        <v>0</v>
      </c>
      <c r="M671" s="372">
        <f ca="1">ROUNDUP(M634*'B. Implementation Plan'!G192+(M632-M634)*'B. Implementation Plan'!P199,0)</f>
        <v>0</v>
      </c>
      <c r="N671" s="372">
        <f ca="1">ROUNDUP(N634*'B. Implementation Plan'!G192+(N632-N634)*'B. Implementation Plan'!P199,0)</f>
        <v>0</v>
      </c>
      <c r="O671" s="372">
        <f ca="1">ROUNDUP(O634*'B. Implementation Plan'!G192+(O632-O634)*'B. Implementation Plan'!P199,0)</f>
        <v>0</v>
      </c>
      <c r="P671" s="379">
        <f t="shared" ref="P671:P672" ca="1" si="419">IF(O671=0,IF(N671=0,IF(M671=0,IF(L671=0,IF(K671=0,IF(J671=0,IF(I671=0,IF(H671=0,IF(G671=0,IF(F671=0,E671,F671),G671),H671),I671),J671),K671),L671),M671),N671),O671)</f>
        <v>0</v>
      </c>
    </row>
    <row r="672" spans="3:16" s="1" customFormat="1" x14ac:dyDescent="0.3">
      <c r="C672" s="326" t="s">
        <v>522</v>
      </c>
      <c r="E672" s="378">
        <f t="shared" ref="E672:O672" ca="1" si="420">IF(E632&gt;0,E671/E632,0)</f>
        <v>0</v>
      </c>
      <c r="F672" s="378">
        <f t="shared" ca="1" si="420"/>
        <v>0</v>
      </c>
      <c r="G672" s="378">
        <f t="shared" ca="1" si="420"/>
        <v>0</v>
      </c>
      <c r="H672" s="378">
        <f t="shared" ca="1" si="420"/>
        <v>0</v>
      </c>
      <c r="I672" s="378">
        <f t="shared" ca="1" si="420"/>
        <v>0</v>
      </c>
      <c r="J672" s="378">
        <f t="shared" ca="1" si="420"/>
        <v>0</v>
      </c>
      <c r="K672" s="378">
        <f t="shared" ca="1" si="420"/>
        <v>0</v>
      </c>
      <c r="L672" s="378">
        <f t="shared" ca="1" si="420"/>
        <v>0</v>
      </c>
      <c r="M672" s="378">
        <f t="shared" ca="1" si="420"/>
        <v>0</v>
      </c>
      <c r="N672" s="378">
        <f t="shared" ca="1" si="420"/>
        <v>0</v>
      </c>
      <c r="O672" s="378">
        <f t="shared" ca="1" si="420"/>
        <v>0</v>
      </c>
      <c r="P672" s="111">
        <f t="shared" ca="1" si="419"/>
        <v>0</v>
      </c>
    </row>
    <row r="673" spans="1:16" s="365" customFormat="1" x14ac:dyDescent="0.3">
      <c r="C673" s="326" t="s">
        <v>523</v>
      </c>
      <c r="F673" s="372">
        <f t="shared" ref="F673:O673" ca="1" si="421">F650+F666</f>
        <v>0</v>
      </c>
      <c r="G673" s="372">
        <f t="shared" ca="1" si="421"/>
        <v>0</v>
      </c>
      <c r="H673" s="372">
        <f t="shared" ca="1" si="421"/>
        <v>0</v>
      </c>
      <c r="I673" s="372">
        <f t="shared" ca="1" si="421"/>
        <v>0</v>
      </c>
      <c r="J673" s="372">
        <f t="shared" ca="1" si="421"/>
        <v>0</v>
      </c>
      <c r="K673" s="372">
        <f t="shared" ca="1" si="421"/>
        <v>0</v>
      </c>
      <c r="L673" s="372">
        <f t="shared" ca="1" si="421"/>
        <v>0</v>
      </c>
      <c r="M673" s="372">
        <f t="shared" ca="1" si="421"/>
        <v>0</v>
      </c>
      <c r="N673" s="372">
        <f t="shared" ca="1" si="421"/>
        <v>0</v>
      </c>
      <c r="O673" s="372">
        <f t="shared" ca="1" si="421"/>
        <v>0</v>
      </c>
      <c r="P673" s="354">
        <f ca="1">MAX(F673:O673)</f>
        <v>0</v>
      </c>
    </row>
    <row r="674" spans="1:16" s="1" customFormat="1" x14ac:dyDescent="0.3">
      <c r="C674" s="326" t="s">
        <v>558</v>
      </c>
      <c r="F674" s="371">
        <f ca="1">F653+F669</f>
        <v>0</v>
      </c>
      <c r="G674" s="371">
        <f t="shared" ref="G674:O674" ca="1" si="422">G653+G669</f>
        <v>0</v>
      </c>
      <c r="H674" s="371">
        <f t="shared" ca="1" si="422"/>
        <v>0</v>
      </c>
      <c r="I674" s="371">
        <f t="shared" ca="1" si="422"/>
        <v>0</v>
      </c>
      <c r="J674" s="371">
        <f t="shared" ca="1" si="422"/>
        <v>0</v>
      </c>
      <c r="K674" s="371">
        <f t="shared" ca="1" si="422"/>
        <v>0</v>
      </c>
      <c r="L674" s="371">
        <f t="shared" ca="1" si="422"/>
        <v>0</v>
      </c>
      <c r="M674" s="371">
        <f t="shared" ca="1" si="422"/>
        <v>0</v>
      </c>
      <c r="N674" s="371">
        <f t="shared" ca="1" si="422"/>
        <v>0</v>
      </c>
      <c r="O674" s="371">
        <f t="shared" ca="1" si="422"/>
        <v>0</v>
      </c>
      <c r="P674" s="354">
        <f t="shared" ref="P674" ca="1" si="423">IF(O674=0,IF(N674=0,IF(M674=0,IF(L674=0,IF(K674=0,IF(J674=0,IF(I674=0,IF(H674=0,IF(G674=0,IF(F674=0,E674,F674),G674),H674),I674),J674),K674),L674),M674),N674),O674)</f>
        <v>0</v>
      </c>
    </row>
    <row r="675" spans="1:16" s="1" customFormat="1" ht="15" thickBot="1" x14ac:dyDescent="0.35">
      <c r="C675" s="353" t="s">
        <v>524</v>
      </c>
      <c r="E675" s="373">
        <f t="shared" ref="E675:O675" ca="1" si="424">IFERROR((E671+E674)/E632,0)</f>
        <v>0</v>
      </c>
      <c r="F675" s="373">
        <f t="shared" ca="1" si="424"/>
        <v>0</v>
      </c>
      <c r="G675" s="373">
        <f t="shared" ca="1" si="424"/>
        <v>0</v>
      </c>
      <c r="H675" s="373">
        <f t="shared" ca="1" si="424"/>
        <v>0</v>
      </c>
      <c r="I675" s="373">
        <f t="shared" ca="1" si="424"/>
        <v>0</v>
      </c>
      <c r="J675" s="373">
        <f t="shared" ca="1" si="424"/>
        <v>0</v>
      </c>
      <c r="K675" s="373">
        <f t="shared" ca="1" si="424"/>
        <v>0</v>
      </c>
      <c r="L675" s="373">
        <f t="shared" ca="1" si="424"/>
        <v>0</v>
      </c>
      <c r="M675" s="373">
        <f t="shared" ca="1" si="424"/>
        <v>0</v>
      </c>
      <c r="N675" s="373">
        <f t="shared" ca="1" si="424"/>
        <v>0</v>
      </c>
      <c r="O675" s="373">
        <f t="shared" ca="1" si="424"/>
        <v>0</v>
      </c>
      <c r="P675" s="190">
        <f t="shared" ref="P675" ca="1" si="425">IF(O675=0,IF(N675=0,IF(M675=0,IF(L675=0,IF(K675=0,IF(J675=0,IF(I675=0,IF(H675=0,IF(G675=0,IF(F675=0,E675,F675),G675),H675),I675),J675),K675),L675),M675),N675),O675)</f>
        <v>0</v>
      </c>
    </row>
    <row r="677" spans="1:16" ht="15" thickBot="1" x14ac:dyDescent="0.35"/>
    <row r="678" spans="1:16" s="67" customFormat="1" ht="15.6" x14ac:dyDescent="0.3">
      <c r="A678" s="62"/>
      <c r="B678" s="62" t="s">
        <v>568</v>
      </c>
      <c r="D678" s="65"/>
      <c r="E678" s="149">
        <v>0</v>
      </c>
      <c r="F678" s="66">
        <v>1</v>
      </c>
      <c r="G678" s="66">
        <v>2</v>
      </c>
      <c r="H678" s="66">
        <v>3</v>
      </c>
      <c r="I678" s="66">
        <v>4</v>
      </c>
      <c r="J678" s="66">
        <v>5</v>
      </c>
      <c r="K678" s="66">
        <v>6</v>
      </c>
      <c r="L678" s="66">
        <v>7</v>
      </c>
      <c r="M678" s="66">
        <v>8</v>
      </c>
      <c r="N678" s="66">
        <v>9</v>
      </c>
      <c r="O678" s="213">
        <v>10</v>
      </c>
      <c r="P678" s="351" t="s">
        <v>2</v>
      </c>
    </row>
    <row r="679" spans="1:16" s="365" customFormat="1" x14ac:dyDescent="0.3">
      <c r="C679" s="14" t="s">
        <v>571</v>
      </c>
      <c r="E679"/>
      <c r="F679" s="347">
        <f ca="1">SUM('D. Annual Schedule Tables'!F233,'D. Annual Schedule Tables'!F312,'D. Annual Schedule Tables'!F391)</f>
        <v>0</v>
      </c>
      <c r="G679" s="347">
        <f ca="1">SUM('D. Annual Schedule Tables'!G233,'D. Annual Schedule Tables'!G312,'D. Annual Schedule Tables'!G391)</f>
        <v>0</v>
      </c>
      <c r="H679" s="347">
        <f ca="1">SUM('D. Annual Schedule Tables'!H233,'D. Annual Schedule Tables'!H312,'D. Annual Schedule Tables'!H391)</f>
        <v>0</v>
      </c>
      <c r="I679" s="347">
        <f ca="1">SUM('D. Annual Schedule Tables'!I233,'D. Annual Schedule Tables'!I312,'D. Annual Schedule Tables'!I391)</f>
        <v>0</v>
      </c>
      <c r="J679" s="347">
        <f ca="1">SUM('D. Annual Schedule Tables'!J233,'D. Annual Schedule Tables'!J312,'D. Annual Schedule Tables'!J391)</f>
        <v>0</v>
      </c>
      <c r="K679" s="347">
        <f ca="1">SUM('D. Annual Schedule Tables'!K233,'D. Annual Schedule Tables'!K312,'D. Annual Schedule Tables'!K391)</f>
        <v>0</v>
      </c>
      <c r="L679" s="347">
        <f ca="1">SUM('D. Annual Schedule Tables'!L233,'D. Annual Schedule Tables'!L312,'D. Annual Schedule Tables'!L391)</f>
        <v>0</v>
      </c>
      <c r="M679" s="347">
        <f ca="1">SUM('D. Annual Schedule Tables'!M233,'D. Annual Schedule Tables'!M312,'D. Annual Schedule Tables'!M391)</f>
        <v>0</v>
      </c>
      <c r="N679" s="347">
        <f ca="1">SUM('D. Annual Schedule Tables'!N233,'D. Annual Schedule Tables'!N312,'D. Annual Schedule Tables'!N391)</f>
        <v>0</v>
      </c>
      <c r="O679" s="347">
        <f ca="1">SUM('D. Annual Schedule Tables'!O233,'D. Annual Schedule Tables'!O312,'D. Annual Schedule Tables'!O391)</f>
        <v>0</v>
      </c>
      <c r="P679" s="354">
        <f ca="1">IF(O679=0,IF(N679=0,IF(M679=0,IF(L679=0,IF(K679=0,IF(J679=0,IF(I679=0,IF(H679=0,IF(G679=0,F679,G679),H679),I679),J679),K679),L679),M679),N679),O679)</f>
        <v>0</v>
      </c>
    </row>
    <row r="680" spans="1:16" s="365" customFormat="1" x14ac:dyDescent="0.3">
      <c r="C680" s="14" t="s">
        <v>543</v>
      </c>
      <c r="E680"/>
      <c r="F680" s="347">
        <f ca="1">SUM('D. Annual Schedule Tables'!F234,'D. Annual Schedule Tables'!F313,'D. Annual Schedule Tables'!F392)</f>
        <v>0</v>
      </c>
      <c r="G680" s="347">
        <f ca="1">SUM('D. Annual Schedule Tables'!G234,'D. Annual Schedule Tables'!G313,'D. Annual Schedule Tables'!G392)</f>
        <v>0</v>
      </c>
      <c r="H680" s="347">
        <f ca="1">SUM('D. Annual Schedule Tables'!H234,'D. Annual Schedule Tables'!H313,'D. Annual Schedule Tables'!H392)</f>
        <v>0</v>
      </c>
      <c r="I680" s="347">
        <f ca="1">SUM('D. Annual Schedule Tables'!I234,'D. Annual Schedule Tables'!I313,'D. Annual Schedule Tables'!I392)</f>
        <v>0</v>
      </c>
      <c r="J680" s="347">
        <f ca="1">SUM('D. Annual Schedule Tables'!J234,'D. Annual Schedule Tables'!J313,'D. Annual Schedule Tables'!J392)</f>
        <v>0</v>
      </c>
      <c r="K680" s="347">
        <f ca="1">SUM('D. Annual Schedule Tables'!K234,'D. Annual Schedule Tables'!K313,'D. Annual Schedule Tables'!K392)</f>
        <v>0</v>
      </c>
      <c r="L680" s="347">
        <f ca="1">SUM('D. Annual Schedule Tables'!L234,'D. Annual Schedule Tables'!L313,'D. Annual Schedule Tables'!L392)</f>
        <v>0</v>
      </c>
      <c r="M680" s="347">
        <f ca="1">SUM('D. Annual Schedule Tables'!M234,'D. Annual Schedule Tables'!M313,'D. Annual Schedule Tables'!M392)</f>
        <v>0</v>
      </c>
      <c r="N680" s="347">
        <f ca="1">SUM('D. Annual Schedule Tables'!N234,'D. Annual Schedule Tables'!N313,'D. Annual Schedule Tables'!N392)</f>
        <v>0</v>
      </c>
      <c r="O680" s="347">
        <f ca="1">SUM('D. Annual Schedule Tables'!O234,'D. Annual Schedule Tables'!O313,'D. Annual Schedule Tables'!O392)</f>
        <v>0</v>
      </c>
      <c r="P680" s="354">
        <f t="shared" ref="P680:P684" ca="1" si="426">IF(O680=0,IF(N680=0,IF(M680=0,IF(L680=0,IF(K680=0,IF(J680=0,IF(I680=0,IF(H680=0,IF(G680=0,F680,G680),H680),I680),J680),K680),L680),M680),N680),O680)</f>
        <v>0</v>
      </c>
    </row>
    <row r="681" spans="1:16" x14ac:dyDescent="0.3">
      <c r="C681" s="14" t="s">
        <v>572</v>
      </c>
      <c r="D681" s="365"/>
      <c r="F681" s="347">
        <f ca="1">SUM('D. Annual Schedule Tables'!F438,'D. Annual Schedule Tables'!F485,'D. Annual Schedule Tables'!F532)</f>
        <v>0</v>
      </c>
      <c r="G681" s="347">
        <f ca="1">SUM('D. Annual Schedule Tables'!G438,'D. Annual Schedule Tables'!G485,'D. Annual Schedule Tables'!G532)</f>
        <v>0</v>
      </c>
      <c r="H681" s="347">
        <f ca="1">SUM('D. Annual Schedule Tables'!H438,'D. Annual Schedule Tables'!H485,'D. Annual Schedule Tables'!H532)</f>
        <v>0</v>
      </c>
      <c r="I681" s="347">
        <f ca="1">SUM('D. Annual Schedule Tables'!I438,'D. Annual Schedule Tables'!I485,'D. Annual Schedule Tables'!I532)</f>
        <v>0</v>
      </c>
      <c r="J681" s="347">
        <f ca="1">SUM('D. Annual Schedule Tables'!J438,'D. Annual Schedule Tables'!J485,'D. Annual Schedule Tables'!J532)</f>
        <v>0</v>
      </c>
      <c r="K681" s="347">
        <f ca="1">SUM('D. Annual Schedule Tables'!K438,'D. Annual Schedule Tables'!K485,'D. Annual Schedule Tables'!K532)</f>
        <v>0</v>
      </c>
      <c r="L681" s="347">
        <f ca="1">SUM('D. Annual Schedule Tables'!L438,'D. Annual Schedule Tables'!L485,'D. Annual Schedule Tables'!L532)</f>
        <v>0</v>
      </c>
      <c r="M681" s="347">
        <f ca="1">SUM('D. Annual Schedule Tables'!M438,'D. Annual Schedule Tables'!M485,'D. Annual Schedule Tables'!M532)</f>
        <v>0</v>
      </c>
      <c r="N681" s="347">
        <f ca="1">SUM('D. Annual Schedule Tables'!N438,'D. Annual Schedule Tables'!N485,'D. Annual Schedule Tables'!N532)</f>
        <v>0</v>
      </c>
      <c r="O681" s="347">
        <f ca="1">SUM('D. Annual Schedule Tables'!O438,'D. Annual Schedule Tables'!O485,'D. Annual Schedule Tables'!O532)</f>
        <v>0</v>
      </c>
      <c r="P681" s="354">
        <f t="shared" ca="1" si="426"/>
        <v>0</v>
      </c>
    </row>
    <row r="682" spans="1:16" x14ac:dyDescent="0.3">
      <c r="C682" s="14" t="s">
        <v>543</v>
      </c>
      <c r="D682" s="365"/>
      <c r="F682" s="347">
        <f ca="1">SUM('D. Annual Schedule Tables'!F439,'D. Annual Schedule Tables'!F486,'D. Annual Schedule Tables'!F533)</f>
        <v>0</v>
      </c>
      <c r="G682" s="347">
        <f ca="1">SUM('D. Annual Schedule Tables'!G439,'D. Annual Schedule Tables'!G486,'D. Annual Schedule Tables'!G533)</f>
        <v>0</v>
      </c>
      <c r="H682" s="347">
        <f ca="1">SUM('D. Annual Schedule Tables'!H439,'D. Annual Schedule Tables'!H486,'D. Annual Schedule Tables'!H533)</f>
        <v>0</v>
      </c>
      <c r="I682" s="347">
        <f ca="1">SUM('D. Annual Schedule Tables'!I439,'D. Annual Schedule Tables'!I486,'D. Annual Schedule Tables'!I533)</f>
        <v>0</v>
      </c>
      <c r="J682" s="347">
        <f ca="1">SUM('D. Annual Schedule Tables'!J439,'D. Annual Schedule Tables'!J486,'D. Annual Schedule Tables'!J533)</f>
        <v>0</v>
      </c>
      <c r="K682" s="347">
        <f ca="1">SUM('D. Annual Schedule Tables'!K439,'D. Annual Schedule Tables'!K486,'D. Annual Schedule Tables'!K533)</f>
        <v>0</v>
      </c>
      <c r="L682" s="347">
        <f ca="1">SUM('D. Annual Schedule Tables'!L439,'D. Annual Schedule Tables'!L486,'D. Annual Schedule Tables'!L533)</f>
        <v>0</v>
      </c>
      <c r="M682" s="347">
        <f ca="1">SUM('D. Annual Schedule Tables'!M439,'D. Annual Schedule Tables'!M486,'D. Annual Schedule Tables'!M533)</f>
        <v>0</v>
      </c>
      <c r="N682" s="347">
        <f ca="1">SUM('D. Annual Schedule Tables'!N439,'D. Annual Schedule Tables'!N486,'D. Annual Schedule Tables'!N533)</f>
        <v>0</v>
      </c>
      <c r="O682" s="347">
        <f ca="1">SUM('D. Annual Schedule Tables'!O439,'D. Annual Schedule Tables'!O486,'D. Annual Schedule Tables'!O533)</f>
        <v>0</v>
      </c>
      <c r="P682" s="354">
        <f t="shared" ca="1" si="426"/>
        <v>0</v>
      </c>
    </row>
    <row r="683" spans="1:16" x14ac:dyDescent="0.3">
      <c r="C683" s="14" t="s">
        <v>573</v>
      </c>
      <c r="D683" s="365"/>
      <c r="F683" s="347">
        <f ca="1">SUM('D. Annual Schedule Tables'!F579,'D. Annual Schedule Tables'!F626,'D. Annual Schedule Tables'!F673)</f>
        <v>87</v>
      </c>
      <c r="G683" s="347">
        <f ca="1">SUM('D. Annual Schedule Tables'!G579,'D. Annual Schedule Tables'!G626,'D. Annual Schedule Tables'!G673)</f>
        <v>50</v>
      </c>
      <c r="H683" s="347">
        <f ca="1">SUM('D. Annual Schedule Tables'!H579,'D. Annual Schedule Tables'!H626,'D. Annual Schedule Tables'!H673)</f>
        <v>17</v>
      </c>
      <c r="I683" s="347">
        <f ca="1">SUM('D. Annual Schedule Tables'!I579,'D. Annual Schedule Tables'!I626,'D. Annual Schedule Tables'!I673)</f>
        <v>17</v>
      </c>
      <c r="J683" s="347">
        <f ca="1">SUM('D. Annual Schedule Tables'!J579,'D. Annual Schedule Tables'!J626,'D. Annual Schedule Tables'!J673)</f>
        <v>17</v>
      </c>
      <c r="K683" s="347">
        <f ca="1">SUM('D. Annual Schedule Tables'!K579,'D. Annual Schedule Tables'!K626,'D. Annual Schedule Tables'!K673)</f>
        <v>18</v>
      </c>
      <c r="L683" s="347">
        <f ca="1">SUM('D. Annual Schedule Tables'!L579,'D. Annual Schedule Tables'!L626,'D. Annual Schedule Tables'!L673)</f>
        <v>19</v>
      </c>
      <c r="M683" s="347">
        <f ca="1">SUM('D. Annual Schedule Tables'!M579,'D. Annual Schedule Tables'!M626,'D. Annual Schedule Tables'!M673)</f>
        <v>19</v>
      </c>
      <c r="N683" s="347">
        <f ca="1">SUM('D. Annual Schedule Tables'!N579,'D. Annual Schedule Tables'!N626,'D. Annual Schedule Tables'!N673)</f>
        <v>19</v>
      </c>
      <c r="O683" s="347">
        <f ca="1">SUM('D. Annual Schedule Tables'!O579,'D. Annual Schedule Tables'!O626,'D. Annual Schedule Tables'!O673)</f>
        <v>19</v>
      </c>
      <c r="P683" s="354">
        <f t="shared" ca="1" si="426"/>
        <v>19</v>
      </c>
    </row>
    <row r="684" spans="1:16" ht="15" thickBot="1" x14ac:dyDescent="0.35">
      <c r="C684" s="14" t="s">
        <v>543</v>
      </c>
      <c r="D684" s="365"/>
      <c r="F684" s="347">
        <f ca="1">SUM('D. Annual Schedule Tables'!F580,'D. Annual Schedule Tables'!F627,'D. Annual Schedule Tables'!F674)</f>
        <v>0</v>
      </c>
      <c r="G684" s="347">
        <f ca="1">SUM('D. Annual Schedule Tables'!G580,'D. Annual Schedule Tables'!G627,'D. Annual Schedule Tables'!G674)</f>
        <v>70</v>
      </c>
      <c r="H684" s="347">
        <f ca="1">SUM('D. Annual Schedule Tables'!H580,'D. Annual Schedule Tables'!H627,'D. Annual Schedule Tables'!H674)</f>
        <v>72</v>
      </c>
      <c r="I684" s="347">
        <f ca="1">SUM('D. Annual Schedule Tables'!I580,'D. Annual Schedule Tables'!I627,'D. Annual Schedule Tables'!I674)</f>
        <v>73</v>
      </c>
      <c r="J684" s="347">
        <f ca="1">SUM('D. Annual Schedule Tables'!J580,'D. Annual Schedule Tables'!J627,'D. Annual Schedule Tables'!J674)</f>
        <v>75</v>
      </c>
      <c r="K684" s="347">
        <f ca="1">SUM('D. Annual Schedule Tables'!K580,'D. Annual Schedule Tables'!K627,'D. Annual Schedule Tables'!K674)</f>
        <v>77</v>
      </c>
      <c r="L684" s="347">
        <f ca="1">SUM('D. Annual Schedule Tables'!L580,'D. Annual Schedule Tables'!L627,'D. Annual Schedule Tables'!L674)</f>
        <v>80</v>
      </c>
      <c r="M684" s="347">
        <f ca="1">SUM('D. Annual Schedule Tables'!M580,'D. Annual Schedule Tables'!M627,'D. Annual Schedule Tables'!M674)</f>
        <v>82</v>
      </c>
      <c r="N684" s="347">
        <f ca="1">SUM('D. Annual Schedule Tables'!N580,'D. Annual Schedule Tables'!N627,'D. Annual Schedule Tables'!N674)</f>
        <v>85</v>
      </c>
      <c r="O684" s="347">
        <f ca="1">SUM('D. Annual Schedule Tables'!O580,'D. Annual Schedule Tables'!O627,'D. Annual Schedule Tables'!O674)</f>
        <v>87</v>
      </c>
      <c r="P684" s="375">
        <f t="shared" ca="1" si="426"/>
        <v>87</v>
      </c>
    </row>
    <row r="686" spans="1:16" ht="15" thickBot="1" x14ac:dyDescent="0.35"/>
    <row r="687" spans="1:16" s="67" customFormat="1" ht="15.6" x14ac:dyDescent="0.3">
      <c r="A687" s="62"/>
      <c r="B687" s="62" t="s">
        <v>569</v>
      </c>
      <c r="D687" s="65"/>
      <c r="E687" s="66">
        <v>0</v>
      </c>
      <c r="F687" s="66">
        <v>1</v>
      </c>
      <c r="G687" s="66">
        <v>2</v>
      </c>
      <c r="H687" s="66">
        <v>3</v>
      </c>
      <c r="I687" s="66">
        <v>4</v>
      </c>
      <c r="J687" s="66">
        <v>5</v>
      </c>
      <c r="K687" s="66">
        <v>6</v>
      </c>
      <c r="L687" s="66">
        <v>7</v>
      </c>
      <c r="M687" s="66">
        <v>8</v>
      </c>
      <c r="N687" s="66">
        <v>9</v>
      </c>
      <c r="O687" s="213">
        <v>10</v>
      </c>
      <c r="P687" s="351" t="s">
        <v>2</v>
      </c>
    </row>
    <row r="688" spans="1:16" s="365" customFormat="1" x14ac:dyDescent="0.3">
      <c r="C688" s="60" t="s">
        <v>540</v>
      </c>
      <c r="D688" s="382"/>
      <c r="E688" s="347">
        <f t="shared" ref="E688:O688" ca="1" si="427">E231+E234</f>
        <v>0</v>
      </c>
      <c r="F688" s="347">
        <f t="shared" ca="1" si="427"/>
        <v>0</v>
      </c>
      <c r="G688" s="347">
        <f t="shared" ca="1" si="427"/>
        <v>0</v>
      </c>
      <c r="H688" s="347">
        <f t="shared" ca="1" si="427"/>
        <v>0</v>
      </c>
      <c r="I688" s="347">
        <f t="shared" ca="1" si="427"/>
        <v>0</v>
      </c>
      <c r="J688" s="347">
        <f t="shared" ca="1" si="427"/>
        <v>0</v>
      </c>
      <c r="K688" s="347">
        <f t="shared" ca="1" si="427"/>
        <v>0</v>
      </c>
      <c r="L688" s="347">
        <f t="shared" ca="1" si="427"/>
        <v>0</v>
      </c>
      <c r="M688" s="347">
        <f t="shared" ca="1" si="427"/>
        <v>0</v>
      </c>
      <c r="N688" s="347">
        <f t="shared" ca="1" si="427"/>
        <v>0</v>
      </c>
      <c r="O688" s="369">
        <f t="shared" ca="1" si="427"/>
        <v>0</v>
      </c>
      <c r="P688" s="354">
        <f t="shared" ref="P688:P693" ca="1" si="428">IF(O688=0,IF(N688=0,IF(M688=0,IF(L688=0,IF(K688=0,IF(J688=0,IF(I688=0,IF(H688=0,IF(G688=0,IF(F688=0,E688,F688),G688),H688),I688),J688),K688),L688),M688),N688),O688)</f>
        <v>0</v>
      </c>
    </row>
    <row r="689" spans="1:16" s="365" customFormat="1" x14ac:dyDescent="0.3">
      <c r="C689" s="14" t="s">
        <v>877</v>
      </c>
      <c r="D689" s="636"/>
      <c r="E689" s="347">
        <f ca="1">ROUNDDOWN(E162*'B. Implementation Plan'!E135+E164*'B. Implementation Plan'!E150,0)-E181-E213</f>
        <v>0</v>
      </c>
      <c r="F689" s="347">
        <f ca="1">ROUNDDOWN(F162*'B. Implementation Plan'!E135+F164*'B. Implementation Plan'!E150,0)-F181-F213</f>
        <v>0</v>
      </c>
      <c r="G689" s="347">
        <f ca="1">ROUNDDOWN(G162*'B. Implementation Plan'!E135+G164*'B. Implementation Plan'!E150,0)-G181-G213</f>
        <v>0</v>
      </c>
      <c r="H689" s="347">
        <f ca="1">ROUNDDOWN(H162*'B. Implementation Plan'!E135+H164*'B. Implementation Plan'!E150,0)-H181-H213</f>
        <v>0</v>
      </c>
      <c r="I689" s="347">
        <f ca="1">ROUNDDOWN(I162*'B. Implementation Plan'!E135+I164*'B. Implementation Plan'!E150,0)-I181-I213</f>
        <v>0</v>
      </c>
      <c r="J689" s="347">
        <f ca="1">ROUNDDOWN(J162*'B. Implementation Plan'!E135+J164*'B. Implementation Plan'!E150,0)-J181-J213</f>
        <v>0</v>
      </c>
      <c r="K689" s="347">
        <f ca="1">ROUNDDOWN(K162*'B. Implementation Plan'!E135+K164*'B. Implementation Plan'!E150,0)-K181-K213</f>
        <v>0</v>
      </c>
      <c r="L689" s="347">
        <f ca="1">ROUNDDOWN(L162*'B. Implementation Plan'!E135+L164*'B. Implementation Plan'!E150,0)-L181-L213</f>
        <v>0</v>
      </c>
      <c r="M689" s="347">
        <f ca="1">ROUNDDOWN(M162*'B. Implementation Plan'!E135+M164*'B. Implementation Plan'!E150,0)-M181-M213</f>
        <v>0</v>
      </c>
      <c r="N689" s="347">
        <f ca="1">ROUNDDOWN(N162*'B. Implementation Plan'!E135+N164*'B. Implementation Plan'!E150,0)-N181-N213</f>
        <v>0</v>
      </c>
      <c r="O689" s="347">
        <f ca="1">ROUNDDOWN(O162*'B. Implementation Plan'!E135+O164*'B. Implementation Plan'!E150,0)-O181-O213</f>
        <v>0</v>
      </c>
      <c r="P689" s="354">
        <f t="shared" ca="1" si="428"/>
        <v>0</v>
      </c>
    </row>
    <row r="690" spans="1:16" x14ac:dyDescent="0.3">
      <c r="A690" s="365"/>
      <c r="B690" s="365"/>
      <c r="C690" s="14" t="s">
        <v>893</v>
      </c>
      <c r="E690" s="391">
        <f ca="1">E160-E688-E689</f>
        <v>0</v>
      </c>
      <c r="F690" s="391">
        <f t="shared" ref="F690:O690" ca="1" si="429">F160-F688-F689</f>
        <v>0</v>
      </c>
      <c r="G690" s="391">
        <f t="shared" ca="1" si="429"/>
        <v>0</v>
      </c>
      <c r="H690" s="391">
        <f t="shared" ca="1" si="429"/>
        <v>0</v>
      </c>
      <c r="I690" s="391">
        <f t="shared" ca="1" si="429"/>
        <v>0</v>
      </c>
      <c r="J690" s="391">
        <f t="shared" ca="1" si="429"/>
        <v>0</v>
      </c>
      <c r="K690" s="391">
        <f t="shared" ca="1" si="429"/>
        <v>0</v>
      </c>
      <c r="L690" s="391">
        <f t="shared" ca="1" si="429"/>
        <v>0</v>
      </c>
      <c r="M690" s="391">
        <f t="shared" ca="1" si="429"/>
        <v>0</v>
      </c>
      <c r="N690" s="391">
        <f t="shared" ca="1" si="429"/>
        <v>0</v>
      </c>
      <c r="O690" s="402">
        <f t="shared" ca="1" si="429"/>
        <v>0</v>
      </c>
      <c r="P690" s="354">
        <f t="shared" ca="1" si="428"/>
        <v>0</v>
      </c>
    </row>
    <row r="691" spans="1:16" x14ac:dyDescent="0.3">
      <c r="A691" s="365"/>
      <c r="B691" s="365"/>
      <c r="C691" s="353" t="s">
        <v>560</v>
      </c>
      <c r="E691" s="371">
        <f t="shared" ref="E691:O691" ca="1" si="430">SUM(E688:E690)</f>
        <v>0</v>
      </c>
      <c r="F691" s="371">
        <f t="shared" ca="1" si="430"/>
        <v>0</v>
      </c>
      <c r="G691" s="371">
        <f t="shared" ca="1" si="430"/>
        <v>0</v>
      </c>
      <c r="H691" s="371">
        <f t="shared" ca="1" si="430"/>
        <v>0</v>
      </c>
      <c r="I691" s="371">
        <f t="shared" ca="1" si="430"/>
        <v>0</v>
      </c>
      <c r="J691" s="371">
        <f t="shared" ca="1" si="430"/>
        <v>0</v>
      </c>
      <c r="K691" s="371">
        <f t="shared" ca="1" si="430"/>
        <v>0</v>
      </c>
      <c r="L691" s="371">
        <f t="shared" ca="1" si="430"/>
        <v>0</v>
      </c>
      <c r="M691" s="371">
        <f t="shared" ca="1" si="430"/>
        <v>0</v>
      </c>
      <c r="N691" s="371">
        <f t="shared" ca="1" si="430"/>
        <v>0</v>
      </c>
      <c r="O691" s="377">
        <f t="shared" ca="1" si="430"/>
        <v>0</v>
      </c>
      <c r="P691" s="354">
        <f t="shared" ca="1" si="428"/>
        <v>0</v>
      </c>
    </row>
    <row r="692" spans="1:16" s="365" customFormat="1" x14ac:dyDescent="0.3">
      <c r="C692" s="60" t="s">
        <v>541</v>
      </c>
      <c r="D692" s="382"/>
      <c r="E692" s="347">
        <f t="shared" ref="E692:O692" ca="1" si="431">E310+E313</f>
        <v>620</v>
      </c>
      <c r="F692" s="347">
        <f t="shared" ca="1" si="431"/>
        <v>635</v>
      </c>
      <c r="G692" s="347">
        <f t="shared" ca="1" si="431"/>
        <v>651</v>
      </c>
      <c r="H692" s="347">
        <f t="shared" ca="1" si="431"/>
        <v>666</v>
      </c>
      <c r="I692" s="347">
        <f t="shared" ca="1" si="431"/>
        <v>682</v>
      </c>
      <c r="J692" s="347">
        <f t="shared" ca="1" si="431"/>
        <v>698</v>
      </c>
      <c r="K692" s="347">
        <f t="shared" ca="1" si="431"/>
        <v>713</v>
      </c>
      <c r="L692" s="347">
        <f t="shared" ca="1" si="431"/>
        <v>729</v>
      </c>
      <c r="M692" s="347">
        <f t="shared" ca="1" si="431"/>
        <v>745</v>
      </c>
      <c r="N692" s="347">
        <f t="shared" ca="1" si="431"/>
        <v>760</v>
      </c>
      <c r="O692" s="369">
        <f t="shared" ca="1" si="431"/>
        <v>776</v>
      </c>
      <c r="P692" s="354">
        <f t="shared" ref="P692:P703" ca="1" si="432">IF(O692=0,IF(N692=0,IF(M692=0,IF(L692=0,IF(K692=0,IF(J692=0,IF(I692=0,IF(H692=0,IF(G692=0,IF(F692=0,E692,F692),G692),H692),I692),J692),K692),L692),M692),N692),O692)</f>
        <v>776</v>
      </c>
    </row>
    <row r="693" spans="1:16" s="365" customFormat="1" x14ac:dyDescent="0.3">
      <c r="C693" s="14" t="s">
        <v>878</v>
      </c>
      <c r="D693" s="97"/>
      <c r="E693" s="347">
        <f ca="1">ROUNDDOWN(E241*'B. Implementation Plan'!F135+E243*'B. Implementation Plan'!E150,0)-E260-E292</f>
        <v>0</v>
      </c>
      <c r="F693" s="347">
        <f ca="1">ROUNDDOWN(F241*'B. Implementation Plan'!F135+F243*'B. Implementation Plan'!E150,0)-F260-F292</f>
        <v>0</v>
      </c>
      <c r="G693" s="347">
        <f ca="1">ROUNDDOWN(G241*'B. Implementation Plan'!F135+G243*'B. Implementation Plan'!E150,0)-G260-G292</f>
        <v>0</v>
      </c>
      <c r="H693" s="347">
        <f ca="1">ROUNDDOWN(H241*'B. Implementation Plan'!F135+H243*'B. Implementation Plan'!E150,0)-H260-H292</f>
        <v>0</v>
      </c>
      <c r="I693" s="347">
        <f ca="1">ROUNDDOWN(I241*'B. Implementation Plan'!F135+I243*'B. Implementation Plan'!E150,0)-I260-I292</f>
        <v>0</v>
      </c>
      <c r="J693" s="347">
        <f ca="1">ROUNDDOWN(J241*'B. Implementation Plan'!F135+J243*'B. Implementation Plan'!E150,0)-J260-J292</f>
        <v>0</v>
      </c>
      <c r="K693" s="347">
        <f ca="1">ROUNDDOWN(K241*'B. Implementation Plan'!F135+K243*'B. Implementation Plan'!E150,0)-K260-K292</f>
        <v>0</v>
      </c>
      <c r="L693" s="347">
        <f ca="1">ROUNDDOWN(L241*'B. Implementation Plan'!F135+L243*'B. Implementation Plan'!E150,0)-L260-L292</f>
        <v>0</v>
      </c>
      <c r="M693" s="347">
        <f ca="1">ROUNDDOWN(M241*'B. Implementation Plan'!F135+M243*'B. Implementation Plan'!E150,0)-M260-M292</f>
        <v>0</v>
      </c>
      <c r="N693" s="347">
        <f ca="1">ROUNDDOWN(N241*'B. Implementation Plan'!F135+N243*'B. Implementation Plan'!E150,0)-N260-N292</f>
        <v>0</v>
      </c>
      <c r="O693" s="347">
        <f ca="1">ROUNDDOWN(O241*'B. Implementation Plan'!F135+O243*'B. Implementation Plan'!E150,0)-O260-O292</f>
        <v>0</v>
      </c>
      <c r="P693" s="354">
        <f t="shared" ca="1" si="428"/>
        <v>0</v>
      </c>
    </row>
    <row r="694" spans="1:16" x14ac:dyDescent="0.3">
      <c r="A694" s="365"/>
      <c r="B694" s="365"/>
      <c r="C694" s="14" t="s">
        <v>894</v>
      </c>
      <c r="E694" s="391">
        <f ca="1">E239-E692-E693</f>
        <v>0</v>
      </c>
      <c r="F694" s="391">
        <f t="shared" ref="F694:O694" ca="1" si="433">F239-F692-F693</f>
        <v>0</v>
      </c>
      <c r="G694" s="391">
        <f t="shared" ca="1" si="433"/>
        <v>0</v>
      </c>
      <c r="H694" s="391">
        <f t="shared" ca="1" si="433"/>
        <v>0</v>
      </c>
      <c r="I694" s="391">
        <f t="shared" ca="1" si="433"/>
        <v>0</v>
      </c>
      <c r="J694" s="391">
        <f t="shared" ca="1" si="433"/>
        <v>0</v>
      </c>
      <c r="K694" s="391">
        <f t="shared" ca="1" si="433"/>
        <v>0</v>
      </c>
      <c r="L694" s="391">
        <f t="shared" ca="1" si="433"/>
        <v>0</v>
      </c>
      <c r="M694" s="391">
        <f t="shared" ca="1" si="433"/>
        <v>0</v>
      </c>
      <c r="N694" s="391">
        <f t="shared" ca="1" si="433"/>
        <v>0</v>
      </c>
      <c r="O694" s="391">
        <f t="shared" ca="1" si="433"/>
        <v>0</v>
      </c>
      <c r="P694" s="354">
        <f t="shared" ca="1" si="432"/>
        <v>0</v>
      </c>
    </row>
    <row r="695" spans="1:16" x14ac:dyDescent="0.3">
      <c r="A695" s="365"/>
      <c r="B695" s="365"/>
      <c r="C695" s="353" t="s">
        <v>561</v>
      </c>
      <c r="E695" s="371">
        <f t="shared" ref="E695:O695" ca="1" si="434">SUM(E692:E694)</f>
        <v>620</v>
      </c>
      <c r="F695" s="371">
        <f t="shared" ca="1" si="434"/>
        <v>635</v>
      </c>
      <c r="G695" s="371">
        <f t="shared" ca="1" si="434"/>
        <v>651</v>
      </c>
      <c r="H695" s="371">
        <f t="shared" ca="1" si="434"/>
        <v>666</v>
      </c>
      <c r="I695" s="371">
        <f t="shared" ca="1" si="434"/>
        <v>682</v>
      </c>
      <c r="J695" s="371">
        <f t="shared" ca="1" si="434"/>
        <v>698</v>
      </c>
      <c r="K695" s="371">
        <f t="shared" ca="1" si="434"/>
        <v>713</v>
      </c>
      <c r="L695" s="371">
        <f t="shared" ca="1" si="434"/>
        <v>729</v>
      </c>
      <c r="M695" s="371">
        <f t="shared" ca="1" si="434"/>
        <v>745</v>
      </c>
      <c r="N695" s="371">
        <f t="shared" ca="1" si="434"/>
        <v>760</v>
      </c>
      <c r="O695" s="377">
        <f t="shared" ca="1" si="434"/>
        <v>776</v>
      </c>
      <c r="P695" s="354">
        <f t="shared" ca="1" si="432"/>
        <v>776</v>
      </c>
    </row>
    <row r="696" spans="1:16" s="365" customFormat="1" x14ac:dyDescent="0.3">
      <c r="C696" s="60" t="s">
        <v>542</v>
      </c>
      <c r="D696" s="382"/>
      <c r="E696" s="347">
        <f ca="1">E389+E392</f>
        <v>0</v>
      </c>
      <c r="F696" s="347">
        <f t="shared" ref="F696:O696" ca="1" si="435">F389+F392</f>
        <v>0</v>
      </c>
      <c r="G696" s="347">
        <f t="shared" ca="1" si="435"/>
        <v>0</v>
      </c>
      <c r="H696" s="347">
        <f t="shared" ca="1" si="435"/>
        <v>0</v>
      </c>
      <c r="I696" s="347">
        <f t="shared" ca="1" si="435"/>
        <v>0</v>
      </c>
      <c r="J696" s="347">
        <f t="shared" ca="1" si="435"/>
        <v>0</v>
      </c>
      <c r="K696" s="347">
        <f t="shared" ca="1" si="435"/>
        <v>0</v>
      </c>
      <c r="L696" s="347">
        <f t="shared" ca="1" si="435"/>
        <v>0</v>
      </c>
      <c r="M696" s="347">
        <f t="shared" ca="1" si="435"/>
        <v>0</v>
      </c>
      <c r="N696" s="347">
        <f t="shared" ca="1" si="435"/>
        <v>0</v>
      </c>
      <c r="O696" s="347">
        <f t="shared" ca="1" si="435"/>
        <v>0</v>
      </c>
      <c r="P696" s="354">
        <f t="shared" ca="1" si="432"/>
        <v>0</v>
      </c>
    </row>
    <row r="697" spans="1:16" s="365" customFormat="1" x14ac:dyDescent="0.3">
      <c r="C697" s="14" t="s">
        <v>879</v>
      </c>
      <c r="D697" s="97"/>
      <c r="E697" s="347">
        <f ca="1">ROUNDDOWN(E320*'B. Implementation Plan'!G135+E322*'B. Implementation Plan'!E150,0)-E339-E371</f>
        <v>0</v>
      </c>
      <c r="F697" s="347">
        <f ca="1">ROUNDDOWN(F320*'B. Implementation Plan'!G135+F322*'B. Implementation Plan'!E150,0)-F339-F371</f>
        <v>0</v>
      </c>
      <c r="G697" s="347">
        <f ca="1">ROUNDDOWN(G320*'B. Implementation Plan'!G135+G322*'B. Implementation Plan'!E150,0)-G339-G371</f>
        <v>0</v>
      </c>
      <c r="H697" s="347">
        <f ca="1">ROUNDDOWN(H320*'B. Implementation Plan'!G135+H322*'B. Implementation Plan'!E150,0)-H339-H371</f>
        <v>0</v>
      </c>
      <c r="I697" s="347">
        <f ca="1">ROUNDDOWN(I320*'B. Implementation Plan'!G135+I322*'B. Implementation Plan'!E150,0)-I339-I371</f>
        <v>0</v>
      </c>
      <c r="J697" s="347">
        <f ca="1">ROUNDDOWN(J320*'B. Implementation Plan'!G135+J322*'B. Implementation Plan'!E150,0)-J339-J371</f>
        <v>0</v>
      </c>
      <c r="K697" s="347">
        <f ca="1">ROUNDDOWN(K320*'B. Implementation Plan'!G135+K322*'B. Implementation Plan'!E150,0)-K339-K371</f>
        <v>0</v>
      </c>
      <c r="L697" s="347">
        <f ca="1">ROUNDDOWN(L320*'B. Implementation Plan'!G135+L322*'B. Implementation Plan'!E150,0)-L339-L371</f>
        <v>0</v>
      </c>
      <c r="M697" s="347">
        <f ca="1">ROUNDDOWN(M320*'B. Implementation Plan'!G135+M322*'B. Implementation Plan'!E150,0)-M339-M371</f>
        <v>0</v>
      </c>
      <c r="N697" s="347">
        <f ca="1">ROUNDDOWN(N320*'B. Implementation Plan'!G135+N322*'B. Implementation Plan'!E150,0)-N339-N371</f>
        <v>0</v>
      </c>
      <c r="O697" s="347">
        <f ca="1">ROUNDDOWN(O320*'B. Implementation Plan'!G135+O322*'B. Implementation Plan'!E150,0)-O339-O371</f>
        <v>0</v>
      </c>
      <c r="P697" s="354">
        <f t="shared" ca="1" si="432"/>
        <v>0</v>
      </c>
    </row>
    <row r="698" spans="1:16" x14ac:dyDescent="0.3">
      <c r="A698" s="365"/>
      <c r="B698" s="365"/>
      <c r="C698" s="14" t="s">
        <v>895</v>
      </c>
      <c r="E698" s="347">
        <f ca="1">E318-E696-E697</f>
        <v>0</v>
      </c>
      <c r="F698" s="347">
        <f t="shared" ref="F698:O698" ca="1" si="436">F318-F696-F697</f>
        <v>0</v>
      </c>
      <c r="G698" s="347">
        <f t="shared" ca="1" si="436"/>
        <v>0</v>
      </c>
      <c r="H698" s="347">
        <f t="shared" ca="1" si="436"/>
        <v>0</v>
      </c>
      <c r="I698" s="347">
        <f t="shared" ca="1" si="436"/>
        <v>0</v>
      </c>
      <c r="J698" s="347">
        <f t="shared" ca="1" si="436"/>
        <v>0</v>
      </c>
      <c r="K698" s="347">
        <f t="shared" ca="1" si="436"/>
        <v>0</v>
      </c>
      <c r="L698" s="347">
        <f t="shared" ca="1" si="436"/>
        <v>0</v>
      </c>
      <c r="M698" s="347">
        <f t="shared" ca="1" si="436"/>
        <v>0</v>
      </c>
      <c r="N698" s="347">
        <f t="shared" ca="1" si="436"/>
        <v>0</v>
      </c>
      <c r="O698" s="347">
        <f t="shared" ca="1" si="436"/>
        <v>0</v>
      </c>
      <c r="P698" s="354">
        <f t="shared" ca="1" si="432"/>
        <v>0</v>
      </c>
    </row>
    <row r="699" spans="1:16" x14ac:dyDescent="0.3">
      <c r="A699" s="365"/>
      <c r="B699" s="365"/>
      <c r="C699" s="353" t="s">
        <v>562</v>
      </c>
      <c r="E699" s="371">
        <f t="shared" ref="E699:O699" ca="1" si="437">SUM(E696:E698)</f>
        <v>0</v>
      </c>
      <c r="F699" s="371">
        <f t="shared" ca="1" si="437"/>
        <v>0</v>
      </c>
      <c r="G699" s="371">
        <f t="shared" ca="1" si="437"/>
        <v>0</v>
      </c>
      <c r="H699" s="371">
        <f t="shared" ca="1" si="437"/>
        <v>0</v>
      </c>
      <c r="I699" s="371">
        <f t="shared" ca="1" si="437"/>
        <v>0</v>
      </c>
      <c r="J699" s="371">
        <f t="shared" ca="1" si="437"/>
        <v>0</v>
      </c>
      <c r="K699" s="371">
        <f t="shared" ca="1" si="437"/>
        <v>0</v>
      </c>
      <c r="L699" s="371">
        <f t="shared" ca="1" si="437"/>
        <v>0</v>
      </c>
      <c r="M699" s="371">
        <f t="shared" ca="1" si="437"/>
        <v>0</v>
      </c>
      <c r="N699" s="371">
        <f t="shared" ca="1" si="437"/>
        <v>0</v>
      </c>
      <c r="O699" s="377">
        <f t="shared" ca="1" si="437"/>
        <v>0</v>
      </c>
      <c r="P699" s="354">
        <f t="shared" ca="1" si="432"/>
        <v>0</v>
      </c>
    </row>
    <row r="700" spans="1:16" x14ac:dyDescent="0.3">
      <c r="A700" s="365"/>
      <c r="B700" s="365"/>
      <c r="C700" s="353" t="s">
        <v>565</v>
      </c>
      <c r="E700" s="373">
        <f ca="1">IFERROR((E688+E692+E696)/(E691+E695+E699),0)</f>
        <v>1</v>
      </c>
      <c r="F700" s="373">
        <f t="shared" ref="F700:O700" ca="1" si="438">IFERROR((F688+F692+F696)/(F691+F695+F699),0)</f>
        <v>1</v>
      </c>
      <c r="G700" s="373">
        <f t="shared" ca="1" si="438"/>
        <v>1</v>
      </c>
      <c r="H700" s="373">
        <f t="shared" ca="1" si="438"/>
        <v>1</v>
      </c>
      <c r="I700" s="373">
        <f t="shared" ca="1" si="438"/>
        <v>1</v>
      </c>
      <c r="J700" s="373">
        <f t="shared" ca="1" si="438"/>
        <v>1</v>
      </c>
      <c r="K700" s="373">
        <f t="shared" ca="1" si="438"/>
        <v>1</v>
      </c>
      <c r="L700" s="373">
        <f t="shared" ca="1" si="438"/>
        <v>1</v>
      </c>
      <c r="M700" s="373">
        <f t="shared" ca="1" si="438"/>
        <v>1</v>
      </c>
      <c r="N700" s="373">
        <f t="shared" ca="1" si="438"/>
        <v>1</v>
      </c>
      <c r="O700" s="403">
        <f t="shared" ca="1" si="438"/>
        <v>1</v>
      </c>
      <c r="P700" s="111">
        <f t="shared" ca="1" si="432"/>
        <v>1</v>
      </c>
    </row>
    <row r="701" spans="1:16" s="365" customFormat="1" x14ac:dyDescent="0.3">
      <c r="C701" s="60" t="s">
        <v>546</v>
      </c>
      <c r="D701" s="382"/>
      <c r="E701" s="347">
        <f t="shared" ref="E701:O701" ca="1" si="439">E436+E439</f>
        <v>0</v>
      </c>
      <c r="F701" s="347">
        <f t="shared" ca="1" si="439"/>
        <v>0</v>
      </c>
      <c r="G701" s="347">
        <f t="shared" ca="1" si="439"/>
        <v>0</v>
      </c>
      <c r="H701" s="347">
        <f t="shared" ca="1" si="439"/>
        <v>0</v>
      </c>
      <c r="I701" s="347">
        <f t="shared" ca="1" si="439"/>
        <v>0</v>
      </c>
      <c r="J701" s="347">
        <f t="shared" ca="1" si="439"/>
        <v>0</v>
      </c>
      <c r="K701" s="347">
        <f t="shared" ca="1" si="439"/>
        <v>0</v>
      </c>
      <c r="L701" s="347">
        <f t="shared" ca="1" si="439"/>
        <v>0</v>
      </c>
      <c r="M701" s="347">
        <f t="shared" ca="1" si="439"/>
        <v>0</v>
      </c>
      <c r="N701" s="347">
        <f t="shared" ca="1" si="439"/>
        <v>0</v>
      </c>
      <c r="O701" s="369">
        <f t="shared" ca="1" si="439"/>
        <v>0</v>
      </c>
      <c r="P701" s="354">
        <f t="shared" ca="1" si="432"/>
        <v>0</v>
      </c>
    </row>
    <row r="702" spans="1:16" x14ac:dyDescent="0.3">
      <c r="C702" s="14" t="s">
        <v>547</v>
      </c>
      <c r="E702" s="391">
        <f t="shared" ref="E702:O702" ca="1" si="440">E160-E701</f>
        <v>0</v>
      </c>
      <c r="F702" s="391">
        <f t="shared" ca="1" si="440"/>
        <v>0</v>
      </c>
      <c r="G702" s="391">
        <f t="shared" ca="1" si="440"/>
        <v>0</v>
      </c>
      <c r="H702" s="391">
        <f t="shared" ca="1" si="440"/>
        <v>0</v>
      </c>
      <c r="I702" s="391">
        <f t="shared" ca="1" si="440"/>
        <v>0</v>
      </c>
      <c r="J702" s="391">
        <f t="shared" ca="1" si="440"/>
        <v>0</v>
      </c>
      <c r="K702" s="391">
        <f t="shared" ca="1" si="440"/>
        <v>0</v>
      </c>
      <c r="L702" s="391">
        <f t="shared" ca="1" si="440"/>
        <v>0</v>
      </c>
      <c r="M702" s="391">
        <f t="shared" ca="1" si="440"/>
        <v>0</v>
      </c>
      <c r="N702" s="391">
        <f t="shared" ca="1" si="440"/>
        <v>0</v>
      </c>
      <c r="O702" s="402">
        <f t="shared" ca="1" si="440"/>
        <v>0</v>
      </c>
      <c r="P702" s="354">
        <f t="shared" ca="1" si="432"/>
        <v>0</v>
      </c>
    </row>
    <row r="703" spans="1:16" x14ac:dyDescent="0.3">
      <c r="C703" s="353" t="s">
        <v>560</v>
      </c>
      <c r="E703" s="371">
        <f t="shared" ref="E703:O703" ca="1" si="441">SUM(E701:E702)</f>
        <v>0</v>
      </c>
      <c r="F703" s="371">
        <f t="shared" ca="1" si="441"/>
        <v>0</v>
      </c>
      <c r="G703" s="371">
        <f t="shared" ca="1" si="441"/>
        <v>0</v>
      </c>
      <c r="H703" s="371">
        <f t="shared" ca="1" si="441"/>
        <v>0</v>
      </c>
      <c r="I703" s="371">
        <f t="shared" ca="1" si="441"/>
        <v>0</v>
      </c>
      <c r="J703" s="371">
        <f t="shared" ca="1" si="441"/>
        <v>0</v>
      </c>
      <c r="K703" s="371">
        <f t="shared" ca="1" si="441"/>
        <v>0</v>
      </c>
      <c r="L703" s="371">
        <f t="shared" ca="1" si="441"/>
        <v>0</v>
      </c>
      <c r="M703" s="371">
        <f t="shared" ca="1" si="441"/>
        <v>0</v>
      </c>
      <c r="N703" s="371">
        <f t="shared" ca="1" si="441"/>
        <v>0</v>
      </c>
      <c r="O703" s="377">
        <f t="shared" ca="1" si="441"/>
        <v>0</v>
      </c>
      <c r="P703" s="354">
        <f t="shared" ca="1" si="432"/>
        <v>0</v>
      </c>
    </row>
    <row r="704" spans="1:16" s="365" customFormat="1" x14ac:dyDescent="0.3">
      <c r="C704" s="60" t="s">
        <v>548</v>
      </c>
      <c r="D704" s="382"/>
      <c r="E704" s="347">
        <f t="shared" ref="E704:O704" ca="1" si="442">E483+E486</f>
        <v>620</v>
      </c>
      <c r="F704" s="347">
        <f t="shared" ca="1" si="442"/>
        <v>635</v>
      </c>
      <c r="G704" s="347">
        <f t="shared" ca="1" si="442"/>
        <v>651</v>
      </c>
      <c r="H704" s="347">
        <f t="shared" ca="1" si="442"/>
        <v>666</v>
      </c>
      <c r="I704" s="347">
        <f t="shared" ca="1" si="442"/>
        <v>682</v>
      </c>
      <c r="J704" s="347">
        <f t="shared" ca="1" si="442"/>
        <v>698</v>
      </c>
      <c r="K704" s="347">
        <f t="shared" ca="1" si="442"/>
        <v>713</v>
      </c>
      <c r="L704" s="347">
        <f t="shared" ca="1" si="442"/>
        <v>729</v>
      </c>
      <c r="M704" s="347">
        <f t="shared" ca="1" si="442"/>
        <v>745</v>
      </c>
      <c r="N704" s="347">
        <f t="shared" ca="1" si="442"/>
        <v>760</v>
      </c>
      <c r="O704" s="369">
        <f t="shared" ca="1" si="442"/>
        <v>776</v>
      </c>
      <c r="P704" s="354">
        <f t="shared" ref="P704:P713" ca="1" si="443">IF(O704=0,IF(N704=0,IF(M704=0,IF(L704=0,IF(K704=0,IF(J704=0,IF(I704=0,IF(H704=0,IF(G704=0,IF(F704=0,E704,F704),G704),H704),I704),J704),K704),L704),M704),N704),O704)</f>
        <v>776</v>
      </c>
    </row>
    <row r="705" spans="3:16" x14ac:dyDescent="0.3">
      <c r="C705" s="14" t="s">
        <v>549</v>
      </c>
      <c r="E705" s="391">
        <f t="shared" ref="E705:O705" ca="1" si="444">E239-E704</f>
        <v>0</v>
      </c>
      <c r="F705" s="391">
        <f t="shared" ca="1" si="444"/>
        <v>0</v>
      </c>
      <c r="G705" s="391">
        <f t="shared" ca="1" si="444"/>
        <v>0</v>
      </c>
      <c r="H705" s="391">
        <f t="shared" ca="1" si="444"/>
        <v>0</v>
      </c>
      <c r="I705" s="391">
        <f t="shared" ca="1" si="444"/>
        <v>0</v>
      </c>
      <c r="J705" s="391">
        <f t="shared" ca="1" si="444"/>
        <v>0</v>
      </c>
      <c r="K705" s="391">
        <f t="shared" ca="1" si="444"/>
        <v>0</v>
      </c>
      <c r="L705" s="391">
        <f t="shared" ca="1" si="444"/>
        <v>0</v>
      </c>
      <c r="M705" s="391">
        <f t="shared" ca="1" si="444"/>
        <v>0</v>
      </c>
      <c r="N705" s="391">
        <f t="shared" ca="1" si="444"/>
        <v>0</v>
      </c>
      <c r="O705" s="402">
        <f t="shared" ca="1" si="444"/>
        <v>0</v>
      </c>
      <c r="P705" s="354">
        <f t="shared" ca="1" si="443"/>
        <v>0</v>
      </c>
    </row>
    <row r="706" spans="3:16" x14ac:dyDescent="0.3">
      <c r="C706" s="353" t="s">
        <v>561</v>
      </c>
      <c r="E706" s="371">
        <f t="shared" ref="E706:O706" ca="1" si="445">SUM(E704:E705)</f>
        <v>620</v>
      </c>
      <c r="F706" s="371">
        <f t="shared" ca="1" si="445"/>
        <v>635</v>
      </c>
      <c r="G706" s="371">
        <f t="shared" ca="1" si="445"/>
        <v>651</v>
      </c>
      <c r="H706" s="371">
        <f t="shared" ca="1" si="445"/>
        <v>666</v>
      </c>
      <c r="I706" s="371">
        <f t="shared" ca="1" si="445"/>
        <v>682</v>
      </c>
      <c r="J706" s="371">
        <f t="shared" ca="1" si="445"/>
        <v>698</v>
      </c>
      <c r="K706" s="371">
        <f t="shared" ca="1" si="445"/>
        <v>713</v>
      </c>
      <c r="L706" s="371">
        <f t="shared" ca="1" si="445"/>
        <v>729</v>
      </c>
      <c r="M706" s="371">
        <f t="shared" ca="1" si="445"/>
        <v>745</v>
      </c>
      <c r="N706" s="371">
        <f t="shared" ca="1" si="445"/>
        <v>760</v>
      </c>
      <c r="O706" s="377">
        <f t="shared" ca="1" si="445"/>
        <v>776</v>
      </c>
      <c r="P706" s="354">
        <f t="shared" ca="1" si="443"/>
        <v>776</v>
      </c>
    </row>
    <row r="707" spans="3:16" s="365" customFormat="1" x14ac:dyDescent="0.3">
      <c r="C707" s="60" t="s">
        <v>550</v>
      </c>
      <c r="D707" s="382"/>
      <c r="E707" s="347">
        <f t="shared" ref="E707:O707" ca="1" si="446">E530+E533</f>
        <v>0</v>
      </c>
      <c r="F707" s="347">
        <f t="shared" ca="1" si="446"/>
        <v>0</v>
      </c>
      <c r="G707" s="347">
        <f t="shared" ca="1" si="446"/>
        <v>0</v>
      </c>
      <c r="H707" s="347">
        <f t="shared" ca="1" si="446"/>
        <v>0</v>
      </c>
      <c r="I707" s="347">
        <f t="shared" ca="1" si="446"/>
        <v>0</v>
      </c>
      <c r="J707" s="347">
        <f t="shared" ca="1" si="446"/>
        <v>0</v>
      </c>
      <c r="K707" s="347">
        <f t="shared" ca="1" si="446"/>
        <v>0</v>
      </c>
      <c r="L707" s="347">
        <f t="shared" ca="1" si="446"/>
        <v>0</v>
      </c>
      <c r="M707" s="347">
        <f t="shared" ca="1" si="446"/>
        <v>0</v>
      </c>
      <c r="N707" s="347">
        <f t="shared" ca="1" si="446"/>
        <v>0</v>
      </c>
      <c r="O707" s="369">
        <f t="shared" ca="1" si="446"/>
        <v>0</v>
      </c>
      <c r="P707" s="354">
        <f t="shared" ca="1" si="443"/>
        <v>0</v>
      </c>
    </row>
    <row r="708" spans="3:16" x14ac:dyDescent="0.3">
      <c r="C708" s="14" t="s">
        <v>551</v>
      </c>
      <c r="E708" s="347">
        <f t="shared" ref="E708:O708" ca="1" si="447">E318-E707</f>
        <v>0</v>
      </c>
      <c r="F708" s="347">
        <f t="shared" ca="1" si="447"/>
        <v>0</v>
      </c>
      <c r="G708" s="347">
        <f t="shared" ca="1" si="447"/>
        <v>0</v>
      </c>
      <c r="H708" s="347">
        <f t="shared" ca="1" si="447"/>
        <v>0</v>
      </c>
      <c r="I708" s="347">
        <f t="shared" ca="1" si="447"/>
        <v>0</v>
      </c>
      <c r="J708" s="347">
        <f t="shared" ca="1" si="447"/>
        <v>0</v>
      </c>
      <c r="K708" s="347">
        <f t="shared" ca="1" si="447"/>
        <v>0</v>
      </c>
      <c r="L708" s="347">
        <f t="shared" ca="1" si="447"/>
        <v>0</v>
      </c>
      <c r="M708" s="347">
        <f t="shared" ca="1" si="447"/>
        <v>0</v>
      </c>
      <c r="N708" s="347">
        <f t="shared" ca="1" si="447"/>
        <v>0</v>
      </c>
      <c r="O708" s="369">
        <f t="shared" ca="1" si="447"/>
        <v>0</v>
      </c>
      <c r="P708" s="354">
        <f t="shared" ca="1" si="443"/>
        <v>0</v>
      </c>
    </row>
    <row r="709" spans="3:16" x14ac:dyDescent="0.3">
      <c r="C709" s="353" t="s">
        <v>562</v>
      </c>
      <c r="E709" s="371">
        <f t="shared" ref="E709:O709" ca="1" si="448">SUM(E707:E708)</f>
        <v>0</v>
      </c>
      <c r="F709" s="371">
        <f t="shared" ca="1" si="448"/>
        <v>0</v>
      </c>
      <c r="G709" s="371">
        <f t="shared" ca="1" si="448"/>
        <v>0</v>
      </c>
      <c r="H709" s="371">
        <f t="shared" ca="1" si="448"/>
        <v>0</v>
      </c>
      <c r="I709" s="371">
        <f t="shared" ca="1" si="448"/>
        <v>0</v>
      </c>
      <c r="J709" s="371">
        <f t="shared" ca="1" si="448"/>
        <v>0</v>
      </c>
      <c r="K709" s="371">
        <f t="shared" ca="1" si="448"/>
        <v>0</v>
      </c>
      <c r="L709" s="371">
        <f t="shared" ca="1" si="448"/>
        <v>0</v>
      </c>
      <c r="M709" s="371">
        <f t="shared" ca="1" si="448"/>
        <v>0</v>
      </c>
      <c r="N709" s="371">
        <f t="shared" ca="1" si="448"/>
        <v>0</v>
      </c>
      <c r="O709" s="377">
        <f t="shared" ca="1" si="448"/>
        <v>0</v>
      </c>
      <c r="P709" s="354">
        <f t="shared" ca="1" si="443"/>
        <v>0</v>
      </c>
    </row>
    <row r="710" spans="3:16" x14ac:dyDescent="0.3">
      <c r="C710" s="353" t="s">
        <v>564</v>
      </c>
      <c r="E710" s="373">
        <f ca="1">IFERROR((E701+E704+E707)/(E703+E706+E709),0)</f>
        <v>1</v>
      </c>
      <c r="F710" s="373">
        <f t="shared" ref="F710" ca="1" si="449">IFERROR((F701+F704+F707)/(F703+F706+F709),0)</f>
        <v>1</v>
      </c>
      <c r="G710" s="373">
        <f t="shared" ref="G710" ca="1" si="450">IFERROR((G701+G704+G707)/(G703+G706+G709),0)</f>
        <v>1</v>
      </c>
      <c r="H710" s="373">
        <f t="shared" ref="H710" ca="1" si="451">IFERROR((H701+H704+H707)/(H703+H706+H709),0)</f>
        <v>1</v>
      </c>
      <c r="I710" s="373">
        <f t="shared" ref="I710" ca="1" si="452">IFERROR((I701+I704+I707)/(I703+I706+I709),0)</f>
        <v>1</v>
      </c>
      <c r="J710" s="373">
        <f t="shared" ref="J710" ca="1" si="453">IFERROR((J701+J704+J707)/(J703+J706+J709),0)</f>
        <v>1</v>
      </c>
      <c r="K710" s="373">
        <f t="shared" ref="K710" ca="1" si="454">IFERROR((K701+K704+K707)/(K703+K706+K709),0)</f>
        <v>1</v>
      </c>
      <c r="L710" s="373">
        <f t="shared" ref="L710" ca="1" si="455">IFERROR((L701+L704+L707)/(L703+L706+L709),0)</f>
        <v>1</v>
      </c>
      <c r="M710" s="373">
        <f t="shared" ref="M710" ca="1" si="456">IFERROR((M701+M704+M707)/(M703+M706+M709),0)</f>
        <v>1</v>
      </c>
      <c r="N710" s="373">
        <f t="shared" ref="N710" ca="1" si="457">IFERROR((N701+N704+N707)/(N703+N706+N709),0)</f>
        <v>1</v>
      </c>
      <c r="O710" s="403">
        <f t="shared" ref="O710" ca="1" si="458">IFERROR((O701+O704+O707)/(O703+O706+O709),0)</f>
        <v>1</v>
      </c>
      <c r="P710" s="111">
        <f t="shared" ca="1" si="443"/>
        <v>1</v>
      </c>
    </row>
    <row r="711" spans="3:16" s="365" customFormat="1" x14ac:dyDescent="0.3">
      <c r="C711" s="60" t="s">
        <v>552</v>
      </c>
      <c r="D711" s="382"/>
      <c r="E711" s="347">
        <f t="shared" ref="E711:O711" ca="1" si="459">E577+E580</f>
        <v>0</v>
      </c>
      <c r="F711" s="347">
        <f t="shared" ca="1" si="459"/>
        <v>0</v>
      </c>
      <c r="G711" s="347">
        <f t="shared" ca="1" si="459"/>
        <v>0</v>
      </c>
      <c r="H711" s="347">
        <f t="shared" ca="1" si="459"/>
        <v>0</v>
      </c>
      <c r="I711" s="347">
        <f t="shared" ca="1" si="459"/>
        <v>0</v>
      </c>
      <c r="J711" s="347">
        <f t="shared" ca="1" si="459"/>
        <v>0</v>
      </c>
      <c r="K711" s="347">
        <f t="shared" ca="1" si="459"/>
        <v>0</v>
      </c>
      <c r="L711" s="347">
        <f t="shared" ca="1" si="459"/>
        <v>0</v>
      </c>
      <c r="M711" s="347">
        <f t="shared" ca="1" si="459"/>
        <v>0</v>
      </c>
      <c r="N711" s="347">
        <f t="shared" ca="1" si="459"/>
        <v>0</v>
      </c>
      <c r="O711" s="369">
        <f t="shared" ca="1" si="459"/>
        <v>0</v>
      </c>
      <c r="P711" s="354">
        <f t="shared" ca="1" si="443"/>
        <v>0</v>
      </c>
    </row>
    <row r="712" spans="3:16" x14ac:dyDescent="0.3">
      <c r="C712" s="14" t="s">
        <v>553</v>
      </c>
      <c r="E712" s="391">
        <f t="shared" ref="E712:O712" ca="1" si="460">E538-E711</f>
        <v>0</v>
      </c>
      <c r="F712" s="391">
        <f t="shared" ca="1" si="460"/>
        <v>0</v>
      </c>
      <c r="G712" s="391">
        <f t="shared" ca="1" si="460"/>
        <v>0</v>
      </c>
      <c r="H712" s="391">
        <f t="shared" ca="1" si="460"/>
        <v>0</v>
      </c>
      <c r="I712" s="391">
        <f t="shared" ca="1" si="460"/>
        <v>0</v>
      </c>
      <c r="J712" s="391">
        <f t="shared" ca="1" si="460"/>
        <v>0</v>
      </c>
      <c r="K712" s="391">
        <f t="shared" ca="1" si="460"/>
        <v>0</v>
      </c>
      <c r="L712" s="391">
        <f t="shared" ca="1" si="460"/>
        <v>0</v>
      </c>
      <c r="M712" s="391">
        <f t="shared" ca="1" si="460"/>
        <v>0</v>
      </c>
      <c r="N712" s="391">
        <f t="shared" ca="1" si="460"/>
        <v>0</v>
      </c>
      <c r="O712" s="402">
        <f t="shared" ca="1" si="460"/>
        <v>0</v>
      </c>
      <c r="P712" s="354">
        <f t="shared" ca="1" si="443"/>
        <v>0</v>
      </c>
    </row>
    <row r="713" spans="3:16" x14ac:dyDescent="0.3">
      <c r="C713" s="353" t="s">
        <v>599</v>
      </c>
      <c r="E713" s="371">
        <f t="shared" ref="E713:O713" ca="1" si="461">SUM(E711:E712)</f>
        <v>0</v>
      </c>
      <c r="F713" s="371">
        <f t="shared" ca="1" si="461"/>
        <v>0</v>
      </c>
      <c r="G713" s="371">
        <f t="shared" ca="1" si="461"/>
        <v>0</v>
      </c>
      <c r="H713" s="371">
        <f t="shared" ca="1" si="461"/>
        <v>0</v>
      </c>
      <c r="I713" s="371">
        <f t="shared" ca="1" si="461"/>
        <v>0</v>
      </c>
      <c r="J713" s="371">
        <f t="shared" ca="1" si="461"/>
        <v>0</v>
      </c>
      <c r="K713" s="371">
        <f t="shared" ca="1" si="461"/>
        <v>0</v>
      </c>
      <c r="L713" s="371">
        <f t="shared" ca="1" si="461"/>
        <v>0</v>
      </c>
      <c r="M713" s="371">
        <f t="shared" ca="1" si="461"/>
        <v>0</v>
      </c>
      <c r="N713" s="371">
        <f t="shared" ca="1" si="461"/>
        <v>0</v>
      </c>
      <c r="O713" s="377">
        <f t="shared" ca="1" si="461"/>
        <v>0</v>
      </c>
      <c r="P713" s="354">
        <f t="shared" ca="1" si="443"/>
        <v>0</v>
      </c>
    </row>
    <row r="714" spans="3:16" s="365" customFormat="1" x14ac:dyDescent="0.3">
      <c r="C714" s="60" t="s">
        <v>554</v>
      </c>
      <c r="D714" s="382"/>
      <c r="E714" s="347">
        <f t="shared" ref="E714:O714" ca="1" si="462">E624+E627</f>
        <v>409</v>
      </c>
      <c r="F714" s="347">
        <f t="shared" ca="1" si="462"/>
        <v>418</v>
      </c>
      <c r="G714" s="347">
        <f t="shared" ca="1" si="462"/>
        <v>497</v>
      </c>
      <c r="H714" s="347">
        <f t="shared" ca="1" si="462"/>
        <v>509</v>
      </c>
      <c r="I714" s="347">
        <f t="shared" ca="1" si="462"/>
        <v>519</v>
      </c>
      <c r="J714" s="347">
        <f t="shared" ca="1" si="462"/>
        <v>531</v>
      </c>
      <c r="K714" s="347">
        <f t="shared" ca="1" si="462"/>
        <v>542</v>
      </c>
      <c r="L714" s="347">
        <f t="shared" ca="1" si="462"/>
        <v>554</v>
      </c>
      <c r="M714" s="347">
        <f t="shared" ca="1" si="462"/>
        <v>566</v>
      </c>
      <c r="N714" s="347">
        <f t="shared" ca="1" si="462"/>
        <v>579</v>
      </c>
      <c r="O714" s="369">
        <f t="shared" ca="1" si="462"/>
        <v>591</v>
      </c>
      <c r="P714" s="354">
        <f t="shared" ref="P714:P720" ca="1" si="463">IF(O714=0,IF(N714=0,IF(M714=0,IF(L714=0,IF(K714=0,IF(J714=0,IF(I714=0,IF(H714=0,IF(G714=0,IF(F714=0,E714,F714),G714),H714),I714),J714),K714),L714),M714),N714),O714)</f>
        <v>591</v>
      </c>
    </row>
    <row r="715" spans="3:16" x14ac:dyDescent="0.3">
      <c r="C715" s="14" t="s">
        <v>555</v>
      </c>
      <c r="E715" s="391">
        <f t="shared" ref="E715:O715" ca="1" si="464">E585-E714</f>
        <v>210</v>
      </c>
      <c r="F715" s="391">
        <f t="shared" ca="1" si="464"/>
        <v>217</v>
      </c>
      <c r="G715" s="391">
        <f t="shared" ca="1" si="464"/>
        <v>153</v>
      </c>
      <c r="H715" s="391">
        <f t="shared" ca="1" si="464"/>
        <v>157</v>
      </c>
      <c r="I715" s="391">
        <f t="shared" ca="1" si="464"/>
        <v>163</v>
      </c>
      <c r="J715" s="391">
        <f t="shared" ca="1" si="464"/>
        <v>166</v>
      </c>
      <c r="K715" s="391">
        <f t="shared" ca="1" si="464"/>
        <v>171</v>
      </c>
      <c r="L715" s="391">
        <f t="shared" ca="1" si="464"/>
        <v>174</v>
      </c>
      <c r="M715" s="391">
        <f t="shared" ca="1" si="464"/>
        <v>178</v>
      </c>
      <c r="N715" s="391">
        <f t="shared" ca="1" si="464"/>
        <v>181</v>
      </c>
      <c r="O715" s="402">
        <f t="shared" ca="1" si="464"/>
        <v>184</v>
      </c>
      <c r="P715" s="354">
        <f t="shared" ca="1" si="463"/>
        <v>184</v>
      </c>
    </row>
    <row r="716" spans="3:16" x14ac:dyDescent="0.3">
      <c r="C716" s="353" t="s">
        <v>600</v>
      </c>
      <c r="E716" s="371">
        <f t="shared" ref="E716:O716" ca="1" si="465">SUM(E714:E715)</f>
        <v>619</v>
      </c>
      <c r="F716" s="371">
        <f t="shared" ca="1" si="465"/>
        <v>635</v>
      </c>
      <c r="G716" s="371">
        <f t="shared" ca="1" si="465"/>
        <v>650</v>
      </c>
      <c r="H716" s="371">
        <f t="shared" ca="1" si="465"/>
        <v>666</v>
      </c>
      <c r="I716" s="371">
        <f t="shared" ca="1" si="465"/>
        <v>682</v>
      </c>
      <c r="J716" s="371">
        <f t="shared" ca="1" si="465"/>
        <v>697</v>
      </c>
      <c r="K716" s="371">
        <f t="shared" ca="1" si="465"/>
        <v>713</v>
      </c>
      <c r="L716" s="371">
        <f t="shared" ca="1" si="465"/>
        <v>728</v>
      </c>
      <c r="M716" s="371">
        <f t="shared" ca="1" si="465"/>
        <v>744</v>
      </c>
      <c r="N716" s="371">
        <f t="shared" ca="1" si="465"/>
        <v>760</v>
      </c>
      <c r="O716" s="377">
        <f t="shared" ca="1" si="465"/>
        <v>775</v>
      </c>
      <c r="P716" s="354">
        <f t="shared" ca="1" si="463"/>
        <v>775</v>
      </c>
    </row>
    <row r="717" spans="3:16" s="365" customFormat="1" x14ac:dyDescent="0.3">
      <c r="C717" s="60" t="s">
        <v>556</v>
      </c>
      <c r="D717" s="382"/>
      <c r="E717" s="347">
        <f t="shared" ref="E717:O717" ca="1" si="466">E671+E674</f>
        <v>0</v>
      </c>
      <c r="F717" s="347">
        <f t="shared" ca="1" si="466"/>
        <v>0</v>
      </c>
      <c r="G717" s="347">
        <f t="shared" ca="1" si="466"/>
        <v>0</v>
      </c>
      <c r="H717" s="347">
        <f t="shared" ca="1" si="466"/>
        <v>0</v>
      </c>
      <c r="I717" s="347">
        <f t="shared" ca="1" si="466"/>
        <v>0</v>
      </c>
      <c r="J717" s="347">
        <f t="shared" ca="1" si="466"/>
        <v>0</v>
      </c>
      <c r="K717" s="347">
        <f t="shared" ca="1" si="466"/>
        <v>0</v>
      </c>
      <c r="L717" s="347">
        <f t="shared" ca="1" si="466"/>
        <v>0</v>
      </c>
      <c r="M717" s="347">
        <f t="shared" ca="1" si="466"/>
        <v>0</v>
      </c>
      <c r="N717" s="347">
        <f t="shared" ca="1" si="466"/>
        <v>0</v>
      </c>
      <c r="O717" s="369">
        <f t="shared" ca="1" si="466"/>
        <v>0</v>
      </c>
      <c r="P717" s="354">
        <f t="shared" ca="1" si="463"/>
        <v>0</v>
      </c>
    </row>
    <row r="718" spans="3:16" x14ac:dyDescent="0.3">
      <c r="C718" s="14" t="s">
        <v>557</v>
      </c>
      <c r="E718" s="347">
        <f t="shared" ref="E718:O718" ca="1" si="467">E632-E717</f>
        <v>0</v>
      </c>
      <c r="F718" s="347">
        <f t="shared" ca="1" si="467"/>
        <v>0</v>
      </c>
      <c r="G718" s="347">
        <f t="shared" ca="1" si="467"/>
        <v>0</v>
      </c>
      <c r="H718" s="347">
        <f t="shared" ca="1" si="467"/>
        <v>0</v>
      </c>
      <c r="I718" s="347">
        <f t="shared" ca="1" si="467"/>
        <v>0</v>
      </c>
      <c r="J718" s="347">
        <f t="shared" ca="1" si="467"/>
        <v>0</v>
      </c>
      <c r="K718" s="347">
        <f t="shared" ca="1" si="467"/>
        <v>0</v>
      </c>
      <c r="L718" s="347">
        <f t="shared" ca="1" si="467"/>
        <v>0</v>
      </c>
      <c r="M718" s="347">
        <f t="shared" ca="1" si="467"/>
        <v>0</v>
      </c>
      <c r="N718" s="347">
        <f t="shared" ca="1" si="467"/>
        <v>0</v>
      </c>
      <c r="O718" s="369">
        <f t="shared" ca="1" si="467"/>
        <v>0</v>
      </c>
      <c r="P718" s="354">
        <f t="shared" ca="1" si="463"/>
        <v>0</v>
      </c>
    </row>
    <row r="719" spans="3:16" x14ac:dyDescent="0.3">
      <c r="C719" s="353" t="s">
        <v>601</v>
      </c>
      <c r="E719" s="371">
        <f t="shared" ref="E719:O719" ca="1" si="468">SUM(E717:E718)</f>
        <v>0</v>
      </c>
      <c r="F719" s="371">
        <f t="shared" ca="1" si="468"/>
        <v>0</v>
      </c>
      <c r="G719" s="371">
        <f t="shared" ca="1" si="468"/>
        <v>0</v>
      </c>
      <c r="H719" s="371">
        <f t="shared" ca="1" si="468"/>
        <v>0</v>
      </c>
      <c r="I719" s="371">
        <f t="shared" ca="1" si="468"/>
        <v>0</v>
      </c>
      <c r="J719" s="371">
        <f t="shared" ca="1" si="468"/>
        <v>0</v>
      </c>
      <c r="K719" s="371">
        <f t="shared" ca="1" si="468"/>
        <v>0</v>
      </c>
      <c r="L719" s="371">
        <f t="shared" ca="1" si="468"/>
        <v>0</v>
      </c>
      <c r="M719" s="371">
        <f t="shared" ca="1" si="468"/>
        <v>0</v>
      </c>
      <c r="N719" s="371">
        <f t="shared" ca="1" si="468"/>
        <v>0</v>
      </c>
      <c r="O719" s="377">
        <f t="shared" ca="1" si="468"/>
        <v>0</v>
      </c>
      <c r="P719" s="354">
        <f t="shared" ca="1" si="463"/>
        <v>0</v>
      </c>
    </row>
    <row r="720" spans="3:16" ht="15" thickBot="1" x14ac:dyDescent="0.35">
      <c r="C720" s="353" t="s">
        <v>563</v>
      </c>
      <c r="E720" s="373">
        <f ca="1">IFERROR((E711+E714+E717)/(E713+E716+E719),0)</f>
        <v>0.6607431340872375</v>
      </c>
      <c r="F720" s="373">
        <f t="shared" ref="F720" ca="1" si="469">IFERROR((F711+F714+F717)/(F713+F716+F719),0)</f>
        <v>0.65826771653543303</v>
      </c>
      <c r="G720" s="373">
        <f t="shared" ref="G720" ca="1" si="470">IFERROR((G711+G714+G717)/(G713+G716+G719),0)</f>
        <v>0.76461538461538459</v>
      </c>
      <c r="H720" s="373">
        <f t="shared" ref="H720" ca="1" si="471">IFERROR((H711+H714+H717)/(H713+H716+H719),0)</f>
        <v>0.7642642642642643</v>
      </c>
      <c r="I720" s="373">
        <f t="shared" ref="I720" ca="1" si="472">IFERROR((I711+I714+I717)/(I713+I716+I719),0)</f>
        <v>0.76099706744868034</v>
      </c>
      <c r="J720" s="373">
        <f t="shared" ref="J720" ca="1" si="473">IFERROR((J711+J714+J717)/(J713+J716+J719),0)</f>
        <v>0.76183644189383071</v>
      </c>
      <c r="K720" s="373">
        <f t="shared" ref="K720" ca="1" si="474">IFERROR((K711+K714+K717)/(K713+K716+K719),0)</f>
        <v>0.76016830294530158</v>
      </c>
      <c r="L720" s="373">
        <f t="shared" ref="L720" ca="1" si="475">IFERROR((L711+L714+L717)/(L713+L716+L719),0)</f>
        <v>0.76098901098901095</v>
      </c>
      <c r="M720" s="373">
        <f t="shared" ref="M720" ca="1" si="476">IFERROR((M711+M714+M717)/(M713+M716+M719),0)</f>
        <v>0.760752688172043</v>
      </c>
      <c r="N720" s="373">
        <f t="shared" ref="N720" ca="1" si="477">IFERROR((N711+N714+N717)/(N713+N716+N719),0)</f>
        <v>0.76184210526315788</v>
      </c>
      <c r="O720" s="403">
        <f t="shared" ref="O720" ca="1" si="478">IFERROR((O711+O714+O717)/(O713+O716+O719),0)</f>
        <v>0.76258064516129032</v>
      </c>
      <c r="P720" s="190">
        <f t="shared" ca="1" si="463"/>
        <v>0.76258064516129032</v>
      </c>
    </row>
    <row r="722" spans="1:16" ht="15" thickBot="1" x14ac:dyDescent="0.35"/>
    <row r="723" spans="1:16" s="67" customFormat="1" ht="15.6" x14ac:dyDescent="0.3">
      <c r="A723" s="62"/>
      <c r="B723" s="62" t="s">
        <v>570</v>
      </c>
      <c r="D723" s="65"/>
      <c r="E723" s="66">
        <v>0</v>
      </c>
      <c r="F723" s="66">
        <v>1</v>
      </c>
      <c r="G723" s="66">
        <v>2</v>
      </c>
      <c r="H723" s="66">
        <v>3</v>
      </c>
      <c r="I723" s="66">
        <v>4</v>
      </c>
      <c r="J723" s="66">
        <v>5</v>
      </c>
      <c r="K723" s="66">
        <v>6</v>
      </c>
      <c r="L723" s="66">
        <v>7</v>
      </c>
      <c r="M723" s="66">
        <v>8</v>
      </c>
      <c r="N723" s="66">
        <v>9</v>
      </c>
      <c r="O723" s="213">
        <v>10</v>
      </c>
      <c r="P723" s="351" t="s">
        <v>2</v>
      </c>
    </row>
    <row r="724" spans="1:16" s="365" customFormat="1" x14ac:dyDescent="0.3">
      <c r="C724" s="60" t="s">
        <v>702</v>
      </c>
      <c r="D724" s="382"/>
      <c r="E724" s="347">
        <f ca="1">E99+E118</f>
        <v>0</v>
      </c>
      <c r="F724" s="347">
        <f t="shared" ref="F724:O724" ca="1" si="479">F99+F118</f>
        <v>0</v>
      </c>
      <c r="G724" s="347">
        <f t="shared" ca="1" si="479"/>
        <v>0</v>
      </c>
      <c r="H724" s="347">
        <f t="shared" ca="1" si="479"/>
        <v>0</v>
      </c>
      <c r="I724" s="347">
        <f t="shared" ca="1" si="479"/>
        <v>0</v>
      </c>
      <c r="J724" s="347">
        <f t="shared" ca="1" si="479"/>
        <v>0</v>
      </c>
      <c r="K724" s="347">
        <f t="shared" ca="1" si="479"/>
        <v>0</v>
      </c>
      <c r="L724" s="347">
        <f t="shared" ca="1" si="479"/>
        <v>0</v>
      </c>
      <c r="M724" s="347">
        <f t="shared" ca="1" si="479"/>
        <v>0</v>
      </c>
      <c r="N724" s="347">
        <f t="shared" ca="1" si="479"/>
        <v>0</v>
      </c>
      <c r="O724" s="347">
        <f t="shared" ca="1" si="479"/>
        <v>0</v>
      </c>
      <c r="P724" s="354">
        <f t="shared" ref="P724:P727" ca="1" si="480">IF(O724=0,IF(N724=0,IF(M724=0,IF(L724=0,IF(K724=0,IF(J724=0,IF(I724=0,IF(H724=0,IF(G724=0,IF(F724=0,E724,F724),G724),H724),I724),J724),K724),L724),M724),N724),O724)</f>
        <v>0</v>
      </c>
    </row>
    <row r="725" spans="1:16" x14ac:dyDescent="0.3">
      <c r="C725" s="10" t="s">
        <v>703</v>
      </c>
      <c r="E725" s="378">
        <f>'B. Implementation Plan'!E219</f>
        <v>1</v>
      </c>
      <c r="F725" s="378">
        <f>'B. Implementation Plan'!F219</f>
        <v>1</v>
      </c>
      <c r="G725" s="378">
        <f>'B. Implementation Plan'!G219</f>
        <v>1</v>
      </c>
      <c r="H725" s="378">
        <f>'B. Implementation Plan'!H219</f>
        <v>1</v>
      </c>
      <c r="I725" s="378">
        <f>'B. Implementation Plan'!I219</f>
        <v>1</v>
      </c>
      <c r="J725" s="378">
        <f>'B. Implementation Plan'!J219</f>
        <v>1</v>
      </c>
      <c r="K725" s="378">
        <f>'B. Implementation Plan'!K219</f>
        <v>1</v>
      </c>
      <c r="L725" s="378">
        <f>'B. Implementation Plan'!L219</f>
        <v>1</v>
      </c>
      <c r="M725" s="378">
        <f>'B. Implementation Plan'!M219</f>
        <v>1</v>
      </c>
      <c r="N725" s="378">
        <f>'B. Implementation Plan'!N219</f>
        <v>1</v>
      </c>
      <c r="O725" s="392">
        <f>'B. Implementation Plan'!O219</f>
        <v>1</v>
      </c>
      <c r="P725" s="383">
        <f t="shared" si="480"/>
        <v>1</v>
      </c>
    </row>
    <row r="726" spans="1:16" x14ac:dyDescent="0.3">
      <c r="C726" s="10" t="s">
        <v>704</v>
      </c>
      <c r="E726" s="347">
        <f ca="1">ROUND(E724*E725,0)</f>
        <v>0</v>
      </c>
      <c r="F726" s="347">
        <f t="shared" ref="F726:O726" ca="1" si="481">ROUND(F724*F725,0)</f>
        <v>0</v>
      </c>
      <c r="G726" s="347">
        <f t="shared" ca="1" si="481"/>
        <v>0</v>
      </c>
      <c r="H726" s="347">
        <f t="shared" ca="1" si="481"/>
        <v>0</v>
      </c>
      <c r="I726" s="347">
        <f t="shared" ca="1" si="481"/>
        <v>0</v>
      </c>
      <c r="J726" s="347">
        <f t="shared" ca="1" si="481"/>
        <v>0</v>
      </c>
      <c r="K726" s="347">
        <f t="shared" ca="1" si="481"/>
        <v>0</v>
      </c>
      <c r="L726" s="347">
        <f t="shared" ca="1" si="481"/>
        <v>0</v>
      </c>
      <c r="M726" s="347">
        <f t="shared" ca="1" si="481"/>
        <v>0</v>
      </c>
      <c r="N726" s="347">
        <f t="shared" ca="1" si="481"/>
        <v>0</v>
      </c>
      <c r="O726" s="369">
        <f t="shared" ca="1" si="481"/>
        <v>0</v>
      </c>
      <c r="P726" s="354">
        <f t="shared" ca="1" si="480"/>
        <v>0</v>
      </c>
    </row>
    <row r="727" spans="1:16" s="1" customFormat="1" x14ac:dyDescent="0.3">
      <c r="C727" s="405" t="s">
        <v>706</v>
      </c>
      <c r="E727" s="371">
        <f ca="1">E726*'B. Implementation Plan'!P213</f>
        <v>0</v>
      </c>
      <c r="F727" s="371">
        <f ca="1">F726*'B. Implementation Plan'!P213</f>
        <v>0</v>
      </c>
      <c r="G727" s="371">
        <f ca="1">G726*'B. Implementation Plan'!P213</f>
        <v>0</v>
      </c>
      <c r="H727" s="371">
        <f ca="1">H726*'B. Implementation Plan'!P213</f>
        <v>0</v>
      </c>
      <c r="I727" s="371">
        <f ca="1">I726*'B. Implementation Plan'!P213</f>
        <v>0</v>
      </c>
      <c r="J727" s="371">
        <f ca="1">J726*'B. Implementation Plan'!P213</f>
        <v>0</v>
      </c>
      <c r="K727" s="371">
        <f ca="1">K726*'B. Implementation Plan'!P213</f>
        <v>0</v>
      </c>
      <c r="L727" s="371">
        <f ca="1">L726*'B. Implementation Plan'!P213</f>
        <v>0</v>
      </c>
      <c r="M727" s="371">
        <f ca="1">M726*'B. Implementation Plan'!P213</f>
        <v>0</v>
      </c>
      <c r="N727" s="371">
        <f ca="1">N726*'B. Implementation Plan'!P213</f>
        <v>0</v>
      </c>
      <c r="O727" s="377">
        <f ca="1">O726*'B. Implementation Plan'!P213</f>
        <v>0</v>
      </c>
      <c r="P727" s="325">
        <f t="shared" ca="1" si="480"/>
        <v>0</v>
      </c>
    </row>
    <row r="728" spans="1:16" s="365" customFormat="1" x14ac:dyDescent="0.3">
      <c r="C728" s="60" t="s">
        <v>705</v>
      </c>
      <c r="D728" s="382"/>
      <c r="E728" s="347">
        <f ca="1">E103+E122</f>
        <v>1239</v>
      </c>
      <c r="F728" s="347">
        <f t="shared" ref="F728:O728" ca="1" si="482">F103+F122</f>
        <v>1270</v>
      </c>
      <c r="G728" s="347">
        <f t="shared" ca="1" si="482"/>
        <v>1301</v>
      </c>
      <c r="H728" s="347">
        <f t="shared" ca="1" si="482"/>
        <v>1332</v>
      </c>
      <c r="I728" s="347">
        <f t="shared" ca="1" si="482"/>
        <v>1364</v>
      </c>
      <c r="J728" s="347">
        <f t="shared" ca="1" si="482"/>
        <v>1395</v>
      </c>
      <c r="K728" s="347">
        <f t="shared" ca="1" si="482"/>
        <v>1426</v>
      </c>
      <c r="L728" s="347">
        <f t="shared" ca="1" si="482"/>
        <v>1457</v>
      </c>
      <c r="M728" s="347">
        <f t="shared" ca="1" si="482"/>
        <v>1489</v>
      </c>
      <c r="N728" s="347">
        <f t="shared" ca="1" si="482"/>
        <v>1520</v>
      </c>
      <c r="O728" s="347">
        <f t="shared" ca="1" si="482"/>
        <v>1551</v>
      </c>
      <c r="P728" s="354">
        <f t="shared" ref="P728:P735" ca="1" si="483">IF(O728=0,IF(N728=0,IF(M728=0,IF(L728=0,IF(K728=0,IF(J728=0,IF(I728=0,IF(H728=0,IF(G728=0,IF(F728=0,E728,F728),G728),H728),I728),J728),K728),L728),M728),N728),O728)</f>
        <v>1551</v>
      </c>
    </row>
    <row r="729" spans="1:16" x14ac:dyDescent="0.3">
      <c r="C729" s="10" t="s">
        <v>703</v>
      </c>
      <c r="E729" s="378">
        <f>'B. Implementation Plan'!E219</f>
        <v>1</v>
      </c>
      <c r="F729" s="378">
        <f>'B. Implementation Plan'!F219</f>
        <v>1</v>
      </c>
      <c r="G729" s="378">
        <f>'B. Implementation Plan'!G219</f>
        <v>1</v>
      </c>
      <c r="H729" s="378">
        <f>'B. Implementation Plan'!H219</f>
        <v>1</v>
      </c>
      <c r="I729" s="378">
        <f>'B. Implementation Plan'!I219</f>
        <v>1</v>
      </c>
      <c r="J729" s="378">
        <f>'B. Implementation Plan'!J219</f>
        <v>1</v>
      </c>
      <c r="K729" s="378">
        <f>'B. Implementation Plan'!K219</f>
        <v>1</v>
      </c>
      <c r="L729" s="378">
        <f>'B. Implementation Plan'!L219</f>
        <v>1</v>
      </c>
      <c r="M729" s="378">
        <f>'B. Implementation Plan'!M219</f>
        <v>1</v>
      </c>
      <c r="N729" s="378">
        <f>'B. Implementation Plan'!N219</f>
        <v>1</v>
      </c>
      <c r="O729" s="392">
        <f>'B. Implementation Plan'!O219</f>
        <v>1</v>
      </c>
      <c r="P729" s="383">
        <f t="shared" si="483"/>
        <v>1</v>
      </c>
    </row>
    <row r="730" spans="1:16" x14ac:dyDescent="0.3">
      <c r="C730" s="10" t="s">
        <v>704</v>
      </c>
      <c r="E730" s="347">
        <f ca="1">ROUND(E728*E729,0)</f>
        <v>1239</v>
      </c>
      <c r="F730" s="347">
        <f t="shared" ref="F730:O730" ca="1" si="484">ROUND(F728*F729,0)</f>
        <v>1270</v>
      </c>
      <c r="G730" s="347">
        <f t="shared" ca="1" si="484"/>
        <v>1301</v>
      </c>
      <c r="H730" s="347">
        <f t="shared" ca="1" si="484"/>
        <v>1332</v>
      </c>
      <c r="I730" s="347">
        <f t="shared" ca="1" si="484"/>
        <v>1364</v>
      </c>
      <c r="J730" s="347">
        <f t="shared" ca="1" si="484"/>
        <v>1395</v>
      </c>
      <c r="K730" s="347">
        <f t="shared" ca="1" si="484"/>
        <v>1426</v>
      </c>
      <c r="L730" s="347">
        <f t="shared" ca="1" si="484"/>
        <v>1457</v>
      </c>
      <c r="M730" s="347">
        <f t="shared" ca="1" si="484"/>
        <v>1489</v>
      </c>
      <c r="N730" s="347">
        <f t="shared" ca="1" si="484"/>
        <v>1520</v>
      </c>
      <c r="O730" s="369">
        <f t="shared" ca="1" si="484"/>
        <v>1551</v>
      </c>
      <c r="P730" s="354">
        <f t="shared" ca="1" si="483"/>
        <v>1551</v>
      </c>
    </row>
    <row r="731" spans="1:16" s="1" customFormat="1" x14ac:dyDescent="0.3">
      <c r="C731" s="405" t="s">
        <v>707</v>
      </c>
      <c r="E731" s="371">
        <f ca="1">E730*'B. Implementation Plan'!P213</f>
        <v>37170</v>
      </c>
      <c r="F731" s="371">
        <f ca="1">F730*'B. Implementation Plan'!P213</f>
        <v>38100</v>
      </c>
      <c r="G731" s="371">
        <f ca="1">G730*'B. Implementation Plan'!P213</f>
        <v>39030</v>
      </c>
      <c r="H731" s="371">
        <f ca="1">H730*'B. Implementation Plan'!P213</f>
        <v>39960</v>
      </c>
      <c r="I731" s="371">
        <f ca="1">I730*'B. Implementation Plan'!P213</f>
        <v>40920</v>
      </c>
      <c r="J731" s="371">
        <f ca="1">J730*'B. Implementation Plan'!P213</f>
        <v>41850</v>
      </c>
      <c r="K731" s="371">
        <f ca="1">K730*'B. Implementation Plan'!P213</f>
        <v>42780</v>
      </c>
      <c r="L731" s="371">
        <f ca="1">L730*'B. Implementation Plan'!P213</f>
        <v>43710</v>
      </c>
      <c r="M731" s="371">
        <f ca="1">M730*'B. Implementation Plan'!P213</f>
        <v>44670</v>
      </c>
      <c r="N731" s="371">
        <f ca="1">N730*'B. Implementation Plan'!P213</f>
        <v>45600</v>
      </c>
      <c r="O731" s="377">
        <f ca="1">O730*'B. Implementation Plan'!P213</f>
        <v>46530</v>
      </c>
      <c r="P731" s="325">
        <f t="shared" ca="1" si="483"/>
        <v>46530</v>
      </c>
    </row>
    <row r="732" spans="1:16" s="365" customFormat="1" x14ac:dyDescent="0.3">
      <c r="C732" s="60" t="s">
        <v>710</v>
      </c>
      <c r="D732" s="382"/>
      <c r="E732" s="347">
        <f ca="1">E107+E126</f>
        <v>0</v>
      </c>
      <c r="F732" s="347">
        <f t="shared" ref="F732:O732" ca="1" si="485">F107+F126</f>
        <v>0</v>
      </c>
      <c r="G732" s="347">
        <f t="shared" ca="1" si="485"/>
        <v>0</v>
      </c>
      <c r="H732" s="347">
        <f t="shared" ca="1" si="485"/>
        <v>0</v>
      </c>
      <c r="I732" s="347">
        <f t="shared" ca="1" si="485"/>
        <v>0</v>
      </c>
      <c r="J732" s="347">
        <f t="shared" ca="1" si="485"/>
        <v>0</v>
      </c>
      <c r="K732" s="347">
        <f t="shared" ca="1" si="485"/>
        <v>0</v>
      </c>
      <c r="L732" s="347">
        <f t="shared" ca="1" si="485"/>
        <v>0</v>
      </c>
      <c r="M732" s="347">
        <f t="shared" ca="1" si="485"/>
        <v>0</v>
      </c>
      <c r="N732" s="347">
        <f t="shared" ca="1" si="485"/>
        <v>0</v>
      </c>
      <c r="O732" s="347">
        <f t="shared" ca="1" si="485"/>
        <v>0</v>
      </c>
      <c r="P732" s="354">
        <f t="shared" ca="1" si="483"/>
        <v>0</v>
      </c>
    </row>
    <row r="733" spans="1:16" x14ac:dyDescent="0.3">
      <c r="C733" s="10" t="s">
        <v>703</v>
      </c>
      <c r="E733" s="378">
        <f>'B. Implementation Plan'!E219</f>
        <v>1</v>
      </c>
      <c r="F733" s="378">
        <f>'B. Implementation Plan'!F219</f>
        <v>1</v>
      </c>
      <c r="G733" s="378">
        <f>'B. Implementation Plan'!G219</f>
        <v>1</v>
      </c>
      <c r="H733" s="378">
        <f>'B. Implementation Plan'!H219</f>
        <v>1</v>
      </c>
      <c r="I733" s="378">
        <f>'B. Implementation Plan'!I219</f>
        <v>1</v>
      </c>
      <c r="J733" s="378">
        <f>'B. Implementation Plan'!J219</f>
        <v>1</v>
      </c>
      <c r="K733" s="378">
        <f>'B. Implementation Plan'!K219</f>
        <v>1</v>
      </c>
      <c r="L733" s="378">
        <f>'B. Implementation Plan'!L219</f>
        <v>1</v>
      </c>
      <c r="M733" s="378">
        <f>'B. Implementation Plan'!M219</f>
        <v>1</v>
      </c>
      <c r="N733" s="378">
        <f>'B. Implementation Plan'!N219</f>
        <v>1</v>
      </c>
      <c r="O733" s="392">
        <f>'B. Implementation Plan'!O219</f>
        <v>1</v>
      </c>
      <c r="P733" s="383">
        <f t="shared" si="483"/>
        <v>1</v>
      </c>
    </row>
    <row r="734" spans="1:16" x14ac:dyDescent="0.3">
      <c r="C734" s="10" t="s">
        <v>704</v>
      </c>
      <c r="E734" s="347">
        <f ca="1">ROUND(E732*E733,0)</f>
        <v>0</v>
      </c>
      <c r="F734" s="347">
        <f t="shared" ref="F734:O734" ca="1" si="486">ROUND(F732*F733,0)</f>
        <v>0</v>
      </c>
      <c r="G734" s="347">
        <f t="shared" ca="1" si="486"/>
        <v>0</v>
      </c>
      <c r="H734" s="347">
        <f t="shared" ca="1" si="486"/>
        <v>0</v>
      </c>
      <c r="I734" s="347">
        <f t="shared" ca="1" si="486"/>
        <v>0</v>
      </c>
      <c r="J734" s="347">
        <f t="shared" ca="1" si="486"/>
        <v>0</v>
      </c>
      <c r="K734" s="347">
        <f t="shared" ca="1" si="486"/>
        <v>0</v>
      </c>
      <c r="L734" s="347">
        <f t="shared" ca="1" si="486"/>
        <v>0</v>
      </c>
      <c r="M734" s="347">
        <f t="shared" ca="1" si="486"/>
        <v>0</v>
      </c>
      <c r="N734" s="347">
        <f t="shared" ca="1" si="486"/>
        <v>0</v>
      </c>
      <c r="O734" s="369">
        <f t="shared" ca="1" si="486"/>
        <v>0</v>
      </c>
      <c r="P734" s="354">
        <f t="shared" ca="1" si="483"/>
        <v>0</v>
      </c>
    </row>
    <row r="735" spans="1:16" s="1" customFormat="1" x14ac:dyDescent="0.3">
      <c r="C735" s="405" t="s">
        <v>708</v>
      </c>
      <c r="E735" s="371">
        <f ca="1">E734*'B. Implementation Plan'!P213</f>
        <v>0</v>
      </c>
      <c r="F735" s="371">
        <f ca="1">F734*'B. Implementation Plan'!P213</f>
        <v>0</v>
      </c>
      <c r="G735" s="371">
        <f ca="1">G734*'B. Implementation Plan'!P213</f>
        <v>0</v>
      </c>
      <c r="H735" s="371">
        <f ca="1">H734*'B. Implementation Plan'!P213</f>
        <v>0</v>
      </c>
      <c r="I735" s="371">
        <f ca="1">I734*'B. Implementation Plan'!P213</f>
        <v>0</v>
      </c>
      <c r="J735" s="371">
        <f ca="1">J734*'B. Implementation Plan'!P213</f>
        <v>0</v>
      </c>
      <c r="K735" s="371">
        <f ca="1">K734*'B. Implementation Plan'!P213</f>
        <v>0</v>
      </c>
      <c r="L735" s="371">
        <f ca="1">L734*'B. Implementation Plan'!P213</f>
        <v>0</v>
      </c>
      <c r="M735" s="371">
        <f ca="1">M734*'B. Implementation Plan'!P213</f>
        <v>0</v>
      </c>
      <c r="N735" s="371">
        <f ca="1">N734*'B. Implementation Plan'!P213</f>
        <v>0</v>
      </c>
      <c r="O735" s="377">
        <f ca="1">O734*'B. Implementation Plan'!P213</f>
        <v>0</v>
      </c>
      <c r="P735" s="325">
        <f t="shared" ca="1" si="483"/>
        <v>0</v>
      </c>
    </row>
    <row r="736" spans="1:16" s="1" customFormat="1" ht="15" thickBot="1" x14ac:dyDescent="0.35">
      <c r="C736" s="54" t="s">
        <v>709</v>
      </c>
      <c r="E736" s="371">
        <f ca="1">E727+E731+E735</f>
        <v>37170</v>
      </c>
      <c r="F736" s="371">
        <f t="shared" ref="F736:O736" ca="1" si="487">F727+F731+F735</f>
        <v>38100</v>
      </c>
      <c r="G736" s="371">
        <f t="shared" ca="1" si="487"/>
        <v>39030</v>
      </c>
      <c r="H736" s="371">
        <f t="shared" ca="1" si="487"/>
        <v>39960</v>
      </c>
      <c r="I736" s="371">
        <f t="shared" ca="1" si="487"/>
        <v>40920</v>
      </c>
      <c r="J736" s="371">
        <f t="shared" ca="1" si="487"/>
        <v>41850</v>
      </c>
      <c r="K736" s="371">
        <f t="shared" ca="1" si="487"/>
        <v>42780</v>
      </c>
      <c r="L736" s="371">
        <f t="shared" ca="1" si="487"/>
        <v>43710</v>
      </c>
      <c r="M736" s="371">
        <f t="shared" ca="1" si="487"/>
        <v>44670</v>
      </c>
      <c r="N736" s="371">
        <f t="shared" ca="1" si="487"/>
        <v>45600</v>
      </c>
      <c r="O736" s="377">
        <f t="shared" ca="1" si="487"/>
        <v>46530</v>
      </c>
      <c r="P736" s="328">
        <f t="shared" ref="P736" ca="1" si="488">IF(O736=0,IF(N736=0,IF(M736=0,IF(L736=0,IF(K736=0,IF(J736=0,IF(I736=0,IF(H736=0,IF(G736=0,IF(F736=0,E736,F736),G736),H736),I736),J736),K736),L736),M736),N736),O736)</f>
        <v>46530</v>
      </c>
    </row>
    <row r="738" spans="1:16" ht="15" thickBot="1" x14ac:dyDescent="0.35"/>
    <row r="739" spans="1:16" s="67" customFormat="1" ht="15.6" x14ac:dyDescent="0.3">
      <c r="A739" s="62"/>
      <c r="B739" s="62" t="s">
        <v>608</v>
      </c>
      <c r="D739" s="65"/>
      <c r="E739" s="66">
        <v>0</v>
      </c>
      <c r="F739" s="66">
        <v>1</v>
      </c>
      <c r="G739" s="66">
        <v>2</v>
      </c>
      <c r="H739" s="66">
        <v>3</v>
      </c>
      <c r="I739" s="66">
        <v>4</v>
      </c>
      <c r="J739" s="66">
        <v>5</v>
      </c>
      <c r="K739" s="66">
        <v>6</v>
      </c>
      <c r="L739" s="66">
        <v>7</v>
      </c>
      <c r="M739" s="66">
        <v>8</v>
      </c>
      <c r="N739" s="66">
        <v>9</v>
      </c>
      <c r="O739" s="213">
        <v>10</v>
      </c>
      <c r="P739" s="351" t="s">
        <v>2</v>
      </c>
    </row>
    <row r="740" spans="1:16" s="365" customFormat="1" x14ac:dyDescent="0.3">
      <c r="C740" s="14" t="s">
        <v>590</v>
      </c>
      <c r="D740" s="404"/>
      <c r="E740" s="347">
        <f ca="1">E89</f>
        <v>620</v>
      </c>
      <c r="F740" s="347">
        <f t="shared" ref="F740:O740" ca="1" si="489">F89</f>
        <v>635</v>
      </c>
      <c r="G740" s="347">
        <f t="shared" ca="1" si="489"/>
        <v>651</v>
      </c>
      <c r="H740" s="347">
        <f t="shared" ca="1" si="489"/>
        <v>666</v>
      </c>
      <c r="I740" s="347">
        <f t="shared" ca="1" si="489"/>
        <v>682</v>
      </c>
      <c r="J740" s="347">
        <f t="shared" ca="1" si="489"/>
        <v>698</v>
      </c>
      <c r="K740" s="347">
        <f t="shared" ca="1" si="489"/>
        <v>713</v>
      </c>
      <c r="L740" s="347">
        <f t="shared" ca="1" si="489"/>
        <v>729</v>
      </c>
      <c r="M740" s="347">
        <f t="shared" ca="1" si="489"/>
        <v>745</v>
      </c>
      <c r="N740" s="347">
        <f t="shared" ca="1" si="489"/>
        <v>760</v>
      </c>
      <c r="O740" s="347">
        <f t="shared" ca="1" si="489"/>
        <v>776</v>
      </c>
      <c r="P740" s="354">
        <f t="shared" ref="P740:P747" ca="1" si="490">IF(O740=0,IF(N740=0,IF(M740=0,IF(L740=0,IF(K740=0,IF(J740=0,IF(I740=0,IF(H740=0,IF(G740=0,IF(F740=0,E740,F740),G740),H740),I740),J740),K740),L740),M740),N740),O740)</f>
        <v>776</v>
      </c>
    </row>
    <row r="741" spans="1:16" x14ac:dyDescent="0.3">
      <c r="C741" s="10" t="s">
        <v>591</v>
      </c>
      <c r="E741" s="347">
        <f ca="1">ROUND(SUM('B. Implementation Plan'!E272:E274)*E740,0)</f>
        <v>279</v>
      </c>
      <c r="F741" s="347">
        <f ca="1">ROUND(SUM('B. Implementation Plan'!F272:F274)*F740,0)</f>
        <v>159</v>
      </c>
      <c r="G741" s="347">
        <f ca="1">ROUND(SUM('B. Implementation Plan'!G272:G274)*G740,0)</f>
        <v>163</v>
      </c>
      <c r="H741" s="347">
        <f ca="1">ROUND(SUM('B. Implementation Plan'!H272:H274)*H740,0)</f>
        <v>167</v>
      </c>
      <c r="I741" s="347">
        <f ca="1">ROUND(SUM('B. Implementation Plan'!I272:I274)*I740,0)</f>
        <v>171</v>
      </c>
      <c r="J741" s="347">
        <f ca="1">ROUND(SUM('B. Implementation Plan'!J272:J274)*J740,0)</f>
        <v>175</v>
      </c>
      <c r="K741" s="347">
        <f ca="1">ROUND(SUM('B. Implementation Plan'!K272:K274)*K740,0)</f>
        <v>178</v>
      </c>
      <c r="L741" s="347">
        <f ca="1">ROUND(SUM('B. Implementation Plan'!L272:L274)*L740,0)</f>
        <v>182</v>
      </c>
      <c r="M741" s="347">
        <f ca="1">ROUND(SUM('B. Implementation Plan'!M272:M274)*M740,0)</f>
        <v>186</v>
      </c>
      <c r="N741" s="347">
        <f ca="1">ROUND(SUM('B. Implementation Plan'!N272:N274)*N740,0)</f>
        <v>190</v>
      </c>
      <c r="O741" s="369">
        <f ca="1">ROUND(SUM('B. Implementation Plan'!O272:O274)*O740,0)</f>
        <v>194</v>
      </c>
      <c r="P741" s="354">
        <f t="shared" ca="1" si="490"/>
        <v>194</v>
      </c>
    </row>
    <row r="742" spans="1:16" x14ac:dyDescent="0.3">
      <c r="C742" s="10" t="s">
        <v>595</v>
      </c>
      <c r="E742" s="347">
        <f ca="1">IF(SUM('B. Implementation Plan'!E272:E274)=0,0,ROUND(E741*'B. Implementation Plan'!E272/SUM('B. Implementation Plan'!E272:E274),0))</f>
        <v>31</v>
      </c>
      <c r="F742" s="347">
        <f ca="1">IF(SUM('B. Implementation Plan'!F272:F274)=0,0,ROUND(F741*'B. Implementation Plan'!F272/SUM('B. Implementation Plan'!F272:F274),0))</f>
        <v>32</v>
      </c>
      <c r="G742" s="347">
        <f ca="1">IF(SUM('B. Implementation Plan'!G272:G274)=0,0,ROUND(G741*'B. Implementation Plan'!G272/SUM('B. Implementation Plan'!G272:G274),0))</f>
        <v>33</v>
      </c>
      <c r="H742" s="347">
        <f ca="1">IF(SUM('B. Implementation Plan'!H272:H274)=0,0,ROUND(H741*'B. Implementation Plan'!H272/SUM('B. Implementation Plan'!H272:H274),0))</f>
        <v>33</v>
      </c>
      <c r="I742" s="347">
        <f ca="1">IF(SUM('B. Implementation Plan'!I272:I274)=0,0,ROUND(I741*'B. Implementation Plan'!I272/SUM('B. Implementation Plan'!I272:I274),0))</f>
        <v>34</v>
      </c>
      <c r="J742" s="347">
        <f ca="1">IF(SUM('B. Implementation Plan'!J272:J274)=0,0,ROUND(J741*'B. Implementation Plan'!J272/SUM('B. Implementation Plan'!J272:J274),0))</f>
        <v>35</v>
      </c>
      <c r="K742" s="347">
        <f ca="1">IF(SUM('B. Implementation Plan'!K272:K274)=0,0,ROUND(K741*'B. Implementation Plan'!K272/SUM('B. Implementation Plan'!K272:K274),0))</f>
        <v>36</v>
      </c>
      <c r="L742" s="347">
        <f ca="1">IF(SUM('B. Implementation Plan'!L272:L274)=0,0,ROUND(L741*'B. Implementation Plan'!L272/SUM('B. Implementation Plan'!L272:L274),0))</f>
        <v>36</v>
      </c>
      <c r="M742" s="347">
        <f ca="1">IF(SUM('B. Implementation Plan'!M272:M274)=0,0,ROUND(M741*'B. Implementation Plan'!M272/SUM('B. Implementation Plan'!M272:M274),0))</f>
        <v>37</v>
      </c>
      <c r="N742" s="347">
        <f ca="1">IF(SUM('B. Implementation Plan'!N272:N274)=0,0,ROUND(N741*'B. Implementation Plan'!N272/SUM('B. Implementation Plan'!N272:N274),0))</f>
        <v>38</v>
      </c>
      <c r="O742" s="347">
        <f ca="1">IF(SUM('B. Implementation Plan'!O272:O274)=0,0,ROUND(O741*'B. Implementation Plan'!O272/SUM('B. Implementation Plan'!O272:O274),0))</f>
        <v>39</v>
      </c>
      <c r="P742" s="354">
        <f t="shared" ca="1" si="490"/>
        <v>39</v>
      </c>
    </row>
    <row r="743" spans="1:16" x14ac:dyDescent="0.3">
      <c r="C743" s="10" t="s">
        <v>596</v>
      </c>
      <c r="E743" s="347">
        <f ca="1">IF(SUM('B. Implementation Plan'!E272:E274)=0,0,ROUND(E741*'B. Implementation Plan'!E273/SUM('B. Implementation Plan'!E272:E274),0))</f>
        <v>248</v>
      </c>
      <c r="F743" s="347">
        <f ca="1">IF(SUM('B. Implementation Plan'!F272:F274)=0,0,ROUND(F741*'B. Implementation Plan'!F273/SUM('B. Implementation Plan'!F272:F274),0))</f>
        <v>127</v>
      </c>
      <c r="G743" s="347">
        <f ca="1">IF(SUM('B. Implementation Plan'!G272:G274)=0,0,ROUND(G741*'B. Implementation Plan'!G273/SUM('B. Implementation Plan'!G272:G274),0))</f>
        <v>130</v>
      </c>
      <c r="H743" s="347">
        <f ca="1">IF(SUM('B. Implementation Plan'!H272:H274)=0,0,ROUND(H741*'B. Implementation Plan'!H273/SUM('B. Implementation Plan'!H272:H274),0))</f>
        <v>134</v>
      </c>
      <c r="I743" s="347">
        <f ca="1">IF(SUM('B. Implementation Plan'!I272:I274)=0,0,ROUND(I741*'B. Implementation Plan'!I273/SUM('B. Implementation Plan'!I272:I274),0))</f>
        <v>137</v>
      </c>
      <c r="J743" s="347">
        <f ca="1">IF(SUM('B. Implementation Plan'!J272:J274)=0,0,ROUND(J741*'B. Implementation Plan'!J273/SUM('B. Implementation Plan'!J272:J274),0))</f>
        <v>140</v>
      </c>
      <c r="K743" s="347">
        <f ca="1">IF(SUM('B. Implementation Plan'!K272:K274)=0,0,ROUND(K741*'B. Implementation Plan'!K273/SUM('B. Implementation Plan'!K272:K274),0))</f>
        <v>142</v>
      </c>
      <c r="L743" s="347">
        <f ca="1">IF(SUM('B. Implementation Plan'!L272:L274)=0,0,ROUND(L741*'B. Implementation Plan'!L273/SUM('B. Implementation Plan'!L272:L274),0))</f>
        <v>146</v>
      </c>
      <c r="M743" s="347">
        <f ca="1">IF(SUM('B. Implementation Plan'!M272:M274)=0,0,ROUND(M741*'B. Implementation Plan'!M273/SUM('B. Implementation Plan'!M272:M274),0))</f>
        <v>149</v>
      </c>
      <c r="N743" s="347">
        <f ca="1">IF(SUM('B. Implementation Plan'!N272:N274)=0,0,ROUND(N741*'B. Implementation Plan'!N273/SUM('B. Implementation Plan'!N272:N274),0))</f>
        <v>152</v>
      </c>
      <c r="O743" s="347">
        <f ca="1">IF(SUM('B. Implementation Plan'!O272:O274)=0,0,ROUND(O741*'B. Implementation Plan'!O273/SUM('B. Implementation Plan'!O272:O274),0))</f>
        <v>155</v>
      </c>
      <c r="P743" s="354">
        <f t="shared" ca="1" si="490"/>
        <v>155</v>
      </c>
    </row>
    <row r="744" spans="1:16" x14ac:dyDescent="0.3">
      <c r="C744" s="10" t="s">
        <v>597</v>
      </c>
      <c r="E744" s="347">
        <f ca="1">IF(SUM('B. Implementation Plan'!E272:E274)=0,0,E741-E742-E743)</f>
        <v>0</v>
      </c>
      <c r="F744" s="347">
        <f ca="1">IF(SUM('B. Implementation Plan'!F272:F274)=0,0,F741-F742-F743)</f>
        <v>0</v>
      </c>
      <c r="G744" s="347">
        <f ca="1">IF(SUM('B. Implementation Plan'!G272:G274)=0,0,G741-G742-G743)</f>
        <v>0</v>
      </c>
      <c r="H744" s="347">
        <f ca="1">IF(SUM('B. Implementation Plan'!H272:H274)=0,0,H741-H742-H743)</f>
        <v>0</v>
      </c>
      <c r="I744" s="347">
        <f ca="1">IF(SUM('B. Implementation Plan'!I272:I274)=0,0,I741-I742-I743)</f>
        <v>0</v>
      </c>
      <c r="J744" s="347">
        <f ca="1">IF(SUM('B. Implementation Plan'!J272:J274)=0,0,J741-J742-J743)</f>
        <v>0</v>
      </c>
      <c r="K744" s="347">
        <f ca="1">IF(SUM('B. Implementation Plan'!K272:K274)=0,0,K741-K742-K743)</f>
        <v>0</v>
      </c>
      <c r="L744" s="347">
        <f ca="1">IF(SUM('B. Implementation Plan'!L272:L274)=0,0,L741-L742-L743)</f>
        <v>0</v>
      </c>
      <c r="M744" s="347">
        <f ca="1">IF(SUM('B. Implementation Plan'!M272:M274)=0,0,M741-M742-M743)</f>
        <v>0</v>
      </c>
      <c r="N744" s="347">
        <f ca="1">IF(SUM('B. Implementation Plan'!N272:N274)=0,0,N741-N742-N743)</f>
        <v>0</v>
      </c>
      <c r="O744" s="347">
        <f ca="1">IF(SUM('B. Implementation Plan'!O272:O274)=0,0,O741-O742-O743)</f>
        <v>0</v>
      </c>
      <c r="P744" s="354">
        <f t="shared" ca="1" si="490"/>
        <v>0</v>
      </c>
    </row>
    <row r="745" spans="1:16" x14ac:dyDescent="0.3">
      <c r="C745" s="11" t="s">
        <v>602</v>
      </c>
      <c r="E745" s="324">
        <f ca="1">MAX(E742-D742,0)</f>
        <v>31</v>
      </c>
      <c r="F745" s="324">
        <f t="shared" ref="F745:O745" ca="1" si="491">MAX(F742-E742,0)</f>
        <v>1</v>
      </c>
      <c r="G745" s="324">
        <f t="shared" ca="1" si="491"/>
        <v>1</v>
      </c>
      <c r="H745" s="324">
        <f t="shared" ca="1" si="491"/>
        <v>0</v>
      </c>
      <c r="I745" s="324">
        <f t="shared" ca="1" si="491"/>
        <v>1</v>
      </c>
      <c r="J745" s="324">
        <f t="shared" ca="1" si="491"/>
        <v>1</v>
      </c>
      <c r="K745" s="324">
        <f t="shared" ca="1" si="491"/>
        <v>1</v>
      </c>
      <c r="L745" s="324">
        <f t="shared" ca="1" si="491"/>
        <v>0</v>
      </c>
      <c r="M745" s="324">
        <f t="shared" ca="1" si="491"/>
        <v>1</v>
      </c>
      <c r="N745" s="324">
        <f t="shared" ca="1" si="491"/>
        <v>1</v>
      </c>
      <c r="O745" s="324">
        <f t="shared" ca="1" si="491"/>
        <v>1</v>
      </c>
      <c r="P745" s="325">
        <f t="shared" ca="1" si="490"/>
        <v>1</v>
      </c>
    </row>
    <row r="746" spans="1:16" x14ac:dyDescent="0.3">
      <c r="C746" s="11" t="s">
        <v>603</v>
      </c>
      <c r="E746" s="324">
        <f t="shared" ref="E746:O746" ca="1" si="492">MAX(E743-D743,0)</f>
        <v>248</v>
      </c>
      <c r="F746" s="324">
        <f t="shared" ca="1" si="492"/>
        <v>0</v>
      </c>
      <c r="G746" s="324">
        <f t="shared" ca="1" si="492"/>
        <v>3</v>
      </c>
      <c r="H746" s="324">
        <f t="shared" ca="1" si="492"/>
        <v>4</v>
      </c>
      <c r="I746" s="324">
        <f t="shared" ca="1" si="492"/>
        <v>3</v>
      </c>
      <c r="J746" s="324">
        <f t="shared" ca="1" si="492"/>
        <v>3</v>
      </c>
      <c r="K746" s="324">
        <f t="shared" ca="1" si="492"/>
        <v>2</v>
      </c>
      <c r="L746" s="324">
        <f t="shared" ca="1" si="492"/>
        <v>4</v>
      </c>
      <c r="M746" s="324">
        <f t="shared" ca="1" si="492"/>
        <v>3</v>
      </c>
      <c r="N746" s="324">
        <f t="shared" ca="1" si="492"/>
        <v>3</v>
      </c>
      <c r="O746" s="324">
        <f t="shared" ca="1" si="492"/>
        <v>3</v>
      </c>
      <c r="P746" s="325">
        <f t="shared" ca="1" si="490"/>
        <v>3</v>
      </c>
    </row>
    <row r="747" spans="1:16" x14ac:dyDescent="0.3">
      <c r="C747" s="11" t="s">
        <v>604</v>
      </c>
      <c r="E747" s="324">
        <f t="shared" ref="E747:O747" ca="1" si="493">MAX(E744-D744,0)</f>
        <v>0</v>
      </c>
      <c r="F747" s="324">
        <f t="shared" ca="1" si="493"/>
        <v>0</v>
      </c>
      <c r="G747" s="324">
        <f t="shared" ca="1" si="493"/>
        <v>0</v>
      </c>
      <c r="H747" s="324">
        <f t="shared" ca="1" si="493"/>
        <v>0</v>
      </c>
      <c r="I747" s="324">
        <f t="shared" ca="1" si="493"/>
        <v>0</v>
      </c>
      <c r="J747" s="324">
        <f t="shared" ca="1" si="493"/>
        <v>0</v>
      </c>
      <c r="K747" s="324">
        <f t="shared" ca="1" si="493"/>
        <v>0</v>
      </c>
      <c r="L747" s="324">
        <f t="shared" ca="1" si="493"/>
        <v>0</v>
      </c>
      <c r="M747" s="324">
        <f t="shared" ca="1" si="493"/>
        <v>0</v>
      </c>
      <c r="N747" s="324">
        <f t="shared" ca="1" si="493"/>
        <v>0</v>
      </c>
      <c r="O747" s="324">
        <f t="shared" ca="1" si="493"/>
        <v>0</v>
      </c>
      <c r="P747" s="325">
        <f t="shared" ca="1" si="490"/>
        <v>0</v>
      </c>
    </row>
    <row r="748" spans="1:16" ht="15" thickBot="1" x14ac:dyDescent="0.35">
      <c r="C748" s="59" t="s">
        <v>598</v>
      </c>
      <c r="E748" s="324">
        <f ca="1">SUM(E745:E747)</f>
        <v>279</v>
      </c>
      <c r="F748" s="324">
        <f t="shared" ref="F748:O748" ca="1" si="494">SUM(F745:F747)</f>
        <v>1</v>
      </c>
      <c r="G748" s="324">
        <f t="shared" ca="1" si="494"/>
        <v>4</v>
      </c>
      <c r="H748" s="324">
        <f t="shared" ca="1" si="494"/>
        <v>4</v>
      </c>
      <c r="I748" s="324">
        <f t="shared" ca="1" si="494"/>
        <v>4</v>
      </c>
      <c r="J748" s="324">
        <f t="shared" ca="1" si="494"/>
        <v>4</v>
      </c>
      <c r="K748" s="324">
        <f t="shared" ca="1" si="494"/>
        <v>3</v>
      </c>
      <c r="L748" s="324">
        <f t="shared" ca="1" si="494"/>
        <v>4</v>
      </c>
      <c r="M748" s="324">
        <f t="shared" ca="1" si="494"/>
        <v>4</v>
      </c>
      <c r="N748" s="324">
        <f t="shared" ca="1" si="494"/>
        <v>4</v>
      </c>
      <c r="O748" s="324">
        <f t="shared" ca="1" si="494"/>
        <v>4</v>
      </c>
      <c r="P748" s="328">
        <f ca="1">SUM(E748:O748)</f>
        <v>315</v>
      </c>
    </row>
    <row r="750" spans="1:16" ht="15" thickBot="1" x14ac:dyDescent="0.35"/>
    <row r="751" spans="1:16" s="67" customFormat="1" ht="15.6" x14ac:dyDescent="0.3">
      <c r="A751" s="62"/>
      <c r="B751" s="62" t="s">
        <v>609</v>
      </c>
      <c r="D751" s="65"/>
      <c r="E751" s="66">
        <v>0</v>
      </c>
      <c r="F751" s="66">
        <v>1</v>
      </c>
      <c r="G751" s="66">
        <v>2</v>
      </c>
      <c r="H751" s="66">
        <v>3</v>
      </c>
      <c r="I751" s="66">
        <v>4</v>
      </c>
      <c r="J751" s="66">
        <v>5</v>
      </c>
      <c r="K751" s="66">
        <v>6</v>
      </c>
      <c r="L751" s="66">
        <v>7</v>
      </c>
      <c r="M751" s="66">
        <v>8</v>
      </c>
      <c r="N751" s="66">
        <v>9</v>
      </c>
      <c r="O751" s="213">
        <v>10</v>
      </c>
      <c r="P751" s="351" t="s">
        <v>2</v>
      </c>
    </row>
    <row r="752" spans="1:16" s="365" customFormat="1" x14ac:dyDescent="0.3">
      <c r="C752" s="14" t="s">
        <v>590</v>
      </c>
      <c r="D752" s="404"/>
      <c r="E752" s="347">
        <f t="shared" ref="E752:O752" ca="1" si="495">E89</f>
        <v>620</v>
      </c>
      <c r="F752" s="347">
        <f t="shared" ca="1" si="495"/>
        <v>635</v>
      </c>
      <c r="G752" s="347">
        <f t="shared" ca="1" si="495"/>
        <v>651</v>
      </c>
      <c r="H752" s="347">
        <f t="shared" ca="1" si="495"/>
        <v>666</v>
      </c>
      <c r="I752" s="347">
        <f t="shared" ca="1" si="495"/>
        <v>682</v>
      </c>
      <c r="J752" s="347">
        <f t="shared" ca="1" si="495"/>
        <v>698</v>
      </c>
      <c r="K752" s="347">
        <f t="shared" ca="1" si="495"/>
        <v>713</v>
      </c>
      <c r="L752" s="347">
        <f t="shared" ca="1" si="495"/>
        <v>729</v>
      </c>
      <c r="M752" s="347">
        <f t="shared" ca="1" si="495"/>
        <v>745</v>
      </c>
      <c r="N752" s="347">
        <f t="shared" ca="1" si="495"/>
        <v>760</v>
      </c>
      <c r="O752" s="347">
        <f t="shared" ca="1" si="495"/>
        <v>776</v>
      </c>
      <c r="P752" s="354">
        <f ca="1">IF(O752=0,IF(N752=0,IF(M752=0,IF(L752=0,IF(K752=0,IF(J752=0,IF(I752=0,IF(H752=0,IF(G752=0,IF(F752=0,E752,F752),G752),H752),I752),J752),K752),L752),M752),N752),O752)</f>
        <v>776</v>
      </c>
    </row>
    <row r="753" spans="1:16" x14ac:dyDescent="0.3">
      <c r="A753" s="1"/>
      <c r="B753" s="1"/>
      <c r="C753" s="14" t="s">
        <v>1037</v>
      </c>
      <c r="D753" s="368"/>
      <c r="E753" s="15">
        <f ca="1">IFERROR(ROUNDUP(E752/'B. Implementation Plan'!E285,0),0)</f>
        <v>0</v>
      </c>
      <c r="F753" s="15">
        <f ca="1">IFERROR(ROUNDUP(F752/'B. Implementation Plan'!E285,0),0)</f>
        <v>0</v>
      </c>
      <c r="G753" s="15">
        <f ca="1">IFERROR(ROUNDUP(G752/'B. Implementation Plan'!E285,0),0)</f>
        <v>0</v>
      </c>
      <c r="H753" s="15">
        <f ca="1">IFERROR(ROUNDUP(H752/'B. Implementation Plan'!E285,0),0)</f>
        <v>0</v>
      </c>
      <c r="I753" s="15">
        <f ca="1">IFERROR(ROUNDUP(I752/'B. Implementation Plan'!E285,0),0)</f>
        <v>0</v>
      </c>
      <c r="J753" s="15">
        <f ca="1">IFERROR(ROUNDUP(J752/'B. Implementation Plan'!E285,0),0)</f>
        <v>0</v>
      </c>
      <c r="K753" s="15">
        <f ca="1">IFERROR(ROUNDUP(K752/'B. Implementation Plan'!E285,0),0)</f>
        <v>0</v>
      </c>
      <c r="L753" s="15">
        <f ca="1">IFERROR(ROUNDUP(L752/'B. Implementation Plan'!E285,0),0)</f>
        <v>0</v>
      </c>
      <c r="M753" s="15">
        <f ca="1">IFERROR(ROUNDUP(M752/'B. Implementation Plan'!E285,0),0)</f>
        <v>0</v>
      </c>
      <c r="N753" s="15">
        <f ca="1">IFERROR(ROUNDUP(N752/'B. Implementation Plan'!E285,0),0)</f>
        <v>0</v>
      </c>
      <c r="O753" s="15">
        <f ca="1">IFERROR(ROUNDUP(O752/'B. Implementation Plan'!E285,0),0)</f>
        <v>0</v>
      </c>
      <c r="P753" s="78">
        <f ca="1">IF(O753=0,IF(N753=0,IF(M753=0,IF(L753=0,IF(K753=0,IF(J753=0,IF(I753=0,IF(H753=0,IF(G753=0,IF(F753=0,E753,F753),G753),H753),I753),J753),K753),L753),M753),N753),O753)</f>
        <v>0</v>
      </c>
    </row>
    <row r="754" spans="1:16" x14ac:dyDescent="0.3">
      <c r="C754" s="353" t="s">
        <v>1038</v>
      </c>
      <c r="E754" s="324">
        <f ca="1">IF(E753&gt;0,ROUND('B. Implementation Plan'!E284*(1-'B. Implementation Plan'!E287)^E751,0),0)</f>
        <v>0</v>
      </c>
      <c r="F754" s="324">
        <f ca="1">IF(F753&gt;0,ROUND('B. Implementation Plan'!E284*(1-'B. Implementation Plan'!E287)^F751,0),0)</f>
        <v>0</v>
      </c>
      <c r="G754" s="324">
        <f ca="1">IF(G753&gt;0,ROUND('B. Implementation Plan'!E284*(1-'B. Implementation Plan'!E287)^G751,0),0)</f>
        <v>0</v>
      </c>
      <c r="H754" s="324">
        <f ca="1">IF(H753&gt;0,ROUND('B. Implementation Plan'!E284*(1-'B. Implementation Plan'!E287)^H751,0),0)</f>
        <v>0</v>
      </c>
      <c r="I754" s="324">
        <f ca="1">IF(I753&gt;0,ROUND('B. Implementation Plan'!E284*(1-'B. Implementation Plan'!E287)^I751,0),0)</f>
        <v>0</v>
      </c>
      <c r="J754" s="324">
        <f ca="1">IF(J753&gt;0,ROUND('B. Implementation Plan'!E284*(1-'B. Implementation Plan'!E287)^J751,0),0)</f>
        <v>0</v>
      </c>
      <c r="K754" s="324">
        <f ca="1">IF(K753&gt;0,ROUND('B. Implementation Plan'!E284*(1-'B. Implementation Plan'!E287)^K751,0),0)</f>
        <v>0</v>
      </c>
      <c r="L754" s="324">
        <f ca="1">IF(L753&gt;0,ROUND('B. Implementation Plan'!E284*(1-'B. Implementation Plan'!E287)^L751,0),0)</f>
        <v>0</v>
      </c>
      <c r="M754" s="324">
        <f ca="1">IF(M753&gt;0,ROUND('B. Implementation Plan'!E284*(1-'B. Implementation Plan'!E287)^M751,0),0)</f>
        <v>0</v>
      </c>
      <c r="N754" s="324">
        <f ca="1">IF(N753&gt;0,ROUND('B. Implementation Plan'!E284*(1-'B. Implementation Plan'!E287)^N751,0),0)</f>
        <v>0</v>
      </c>
      <c r="O754" s="324">
        <f ca="1">IF(O753&gt;0,ROUND('B. Implementation Plan'!E284*(1-'B. Implementation Plan'!E287)^O751,0),0)</f>
        <v>0</v>
      </c>
      <c r="P754" s="78">
        <f ca="1">IF(O754=0,IF(N754=0,IF(M754=0,IF(L754=0,IF(K754=0,IF(J754=0,IF(I754=0,IF(H754=0,IF(G754=0,IF(F754=0,E754,F754),G754),H754),I754),J754),K754),L754),M754),N754),O754)</f>
        <v>0</v>
      </c>
    </row>
    <row r="755" spans="1:16" s="1" customFormat="1" x14ac:dyDescent="0.3">
      <c r="C755" s="353" t="s">
        <v>1039</v>
      </c>
      <c r="E755" s="380"/>
      <c r="F755" s="324">
        <f>IFERROR(IF(F751&lt;=ROUNDUP(1/'B. Implementation Plan'!E289,0),ROUND(IF(AND(F751-1/'B. Implementation Plan'!E289&lt;1,F751-1/'B. Implementation Plan'!E289&gt;0),F754*MOD(1/'B. Implementation Plan'!E289,1)/(1/'B. Implementation Plan'!E289),MIN(F754-SUM(E755:E755),F754*'B. Implementation Plan'!E289)),0),0),0)</f>
        <v>0</v>
      </c>
      <c r="G755" s="324">
        <f>IFERROR(IF(G751&lt;=ROUNDUP(1/'B. Implementation Plan'!E289,0),ROUND(IF(AND(G751-1/'B. Implementation Plan'!E289&lt;1,G751-1/'B. Implementation Plan'!E289&gt;0),G754*MOD(1/'B. Implementation Plan'!E289,1)/(1/'B. Implementation Plan'!E289),MIN(G754-SUM(E755:F755),G754*'B. Implementation Plan'!E289)),0),0),0)</f>
        <v>0</v>
      </c>
      <c r="H755" s="324">
        <f>IFERROR(IF(H751&lt;=ROUNDUP(1/'B. Implementation Plan'!E289,0),ROUND(IF(AND(H751-1/'B. Implementation Plan'!E289&lt;1,H751-1/'B. Implementation Plan'!E289&gt;0),H754*MOD(1/'B. Implementation Plan'!E289,1)/(1/'B. Implementation Plan'!E289),MIN(H754-SUM(E755:G755),H754*'B. Implementation Plan'!E289)),0),0),0)</f>
        <v>0</v>
      </c>
      <c r="I755" s="324">
        <f>IFERROR(IF(I751&lt;=ROUNDUP(1/'B. Implementation Plan'!E289,0),ROUND(IF(AND(I751-1/'B. Implementation Plan'!E289&lt;1,I751-1/'B. Implementation Plan'!E289&gt;0),I754*MOD(1/'B. Implementation Plan'!E289,1)/(1/'B. Implementation Plan'!E289),MIN(I754-SUM(E755:H755),I754*'B. Implementation Plan'!E289)),0),0),0)</f>
        <v>0</v>
      </c>
      <c r="J755" s="324">
        <f>IFERROR(IF(J751&lt;=ROUNDUP(1/'B. Implementation Plan'!E289,0),ROUND(IF(AND(J751-1/'B. Implementation Plan'!E289&lt;1,J751-1/'B. Implementation Plan'!E289&gt;0),J754*MOD(1/'B. Implementation Plan'!E289,1)/(1/'B. Implementation Plan'!E289),MIN(J754-SUM(E755:I755),J754*'B. Implementation Plan'!E289)),0),0),0)</f>
        <v>0</v>
      </c>
      <c r="K755" s="324">
        <f>IFERROR(IF(K751&lt;=ROUNDUP(1/'B. Implementation Plan'!E289,0),ROUND(IF(AND(K751-1/'B. Implementation Plan'!E289&lt;1,K751-1/'B. Implementation Plan'!E289&gt;0),K754*MOD(1/'B. Implementation Plan'!E289,1)/(1/'B. Implementation Plan'!E289),MIN(K754-SUM(E755:J755),K754*'B. Implementation Plan'!E289)),0),0),0)</f>
        <v>0</v>
      </c>
      <c r="L755" s="324">
        <f>IFERROR(IF(L751&lt;=ROUNDUP(1/'B. Implementation Plan'!E289,0),ROUND(IF(AND(L751-1/'B. Implementation Plan'!E289&lt;1,L751-1/'B. Implementation Plan'!E289&gt;0),L754*MOD(1/'B. Implementation Plan'!E289,1)/(1/'B. Implementation Plan'!E289),MIN(L754-SUM(E755:K755),L754*'B. Implementation Plan'!E289)),0),0),0)</f>
        <v>0</v>
      </c>
      <c r="M755" s="324">
        <f>IFERROR(IF(M751&lt;=ROUNDUP(1/'B. Implementation Plan'!E289,0),ROUND(IF(AND(M751-1/'B. Implementation Plan'!E289&lt;1,M751-1/'B. Implementation Plan'!E289&gt;0),M754*MOD(1/'B. Implementation Plan'!E289,1)/(1/'B. Implementation Plan'!E289),MIN(M754-SUM(E755:L755),M754*'B. Implementation Plan'!E289)),0),0),0)</f>
        <v>0</v>
      </c>
      <c r="N755" s="324">
        <f>IFERROR(IF(N751&lt;=ROUNDUP(1/'B. Implementation Plan'!E289,0),ROUND(IF(AND(N751-1/'B. Implementation Plan'!E289&lt;1,N751-1/'B. Implementation Plan'!E289&gt;0),N754*MOD(1/'B. Implementation Plan'!E289,1)/(1/'B. Implementation Plan'!E289),MIN(N754-SUM(E755:M755),N754*'B. Implementation Plan'!E289)),0),0),0)</f>
        <v>0</v>
      </c>
      <c r="O755" s="324">
        <f>IFERROR(IF(O751&lt;=ROUNDUP(1/'B. Implementation Plan'!E289,0),ROUND(IF(AND(O751-1/'B. Implementation Plan'!E289&lt;1,O751-1/'B. Implementation Plan'!E289&gt;0),O754*MOD(1/'B. Implementation Plan'!E289,1)/(1/'B. Implementation Plan'!E289),MIN(O754-SUM(E755:N755),O754*'B. Implementation Plan'!E289)),0),0),0)</f>
        <v>0</v>
      </c>
      <c r="P755" s="325">
        <f>SUM(E755:O755)</f>
        <v>0</v>
      </c>
    </row>
    <row r="756" spans="1:16" x14ac:dyDescent="0.3">
      <c r="C756" s="14" t="s">
        <v>1040</v>
      </c>
      <c r="E756" s="15">
        <f t="shared" ref="E756:O756" ca="1" si="496">MAX(E753-E754,0)</f>
        <v>0</v>
      </c>
      <c r="F756" s="15">
        <f t="shared" ca="1" si="496"/>
        <v>0</v>
      </c>
      <c r="G756" s="15">
        <f t="shared" ca="1" si="496"/>
        <v>0</v>
      </c>
      <c r="H756" s="15">
        <f t="shared" ca="1" si="496"/>
        <v>0</v>
      </c>
      <c r="I756" s="15">
        <f t="shared" ca="1" si="496"/>
        <v>0</v>
      </c>
      <c r="J756" s="15">
        <f t="shared" ca="1" si="496"/>
        <v>0</v>
      </c>
      <c r="K756" s="15">
        <f t="shared" ca="1" si="496"/>
        <v>0</v>
      </c>
      <c r="L756" s="15">
        <f t="shared" ca="1" si="496"/>
        <v>0</v>
      </c>
      <c r="M756" s="15">
        <f t="shared" ca="1" si="496"/>
        <v>0</v>
      </c>
      <c r="N756" s="15">
        <f t="shared" ca="1" si="496"/>
        <v>0</v>
      </c>
      <c r="O756" s="366">
        <f t="shared" ca="1" si="496"/>
        <v>0</v>
      </c>
      <c r="P756" s="354">
        <f ca="1">IF(O756=0,IF(N756=0,IF(M756=0,IF(L756=0,IF(K756=0,IF(J756=0,IF(I756=0,IF(H756=0,IF(G756=0,IF(F756=0,E756,F756),G756),H756),I756),J756),K756),L756),M756),N756),O756)</f>
        <v>0</v>
      </c>
    </row>
    <row r="757" spans="1:16" x14ac:dyDescent="0.3">
      <c r="C757" s="353" t="s">
        <v>1041</v>
      </c>
      <c r="E757" s="324">
        <f ca="1">IF(E753&gt;0,E756-D756+ROUND(D756*'B. Implementation Plan'!E287,0),0)</f>
        <v>0</v>
      </c>
      <c r="F757" s="324">
        <f ca="1">IF(F753&gt;0,F756-E756+ROUND(E756*'B. Implementation Plan'!E287,0),0)</f>
        <v>0</v>
      </c>
      <c r="G757" s="324">
        <f ca="1">IF(G753&gt;0,G756-F756+ROUND(F756*'B. Implementation Plan'!E287,0),0)</f>
        <v>0</v>
      </c>
      <c r="H757" s="324">
        <f ca="1">IF(H753&gt;0,H756-G756+ROUND(G756*'B. Implementation Plan'!E287,0),0)</f>
        <v>0</v>
      </c>
      <c r="I757" s="324">
        <f ca="1">IF(I753&gt;0,I756-H756+ROUND(H756*'B. Implementation Plan'!E287,0),0)</f>
        <v>0</v>
      </c>
      <c r="J757" s="324">
        <f ca="1">IF(J753&gt;0,J756-I756+ROUND(I756*'B. Implementation Plan'!E287,0),0)</f>
        <v>0</v>
      </c>
      <c r="K757" s="324">
        <f ca="1">IF(K753&gt;0,K756-J756+ROUND(J756*'B. Implementation Plan'!E287,0),0)</f>
        <v>0</v>
      </c>
      <c r="L757" s="324">
        <f ca="1">IF(L753&gt;0,L756-K756+ROUND(K756*'B. Implementation Plan'!E287,0),0)</f>
        <v>0</v>
      </c>
      <c r="M757" s="324">
        <f ca="1">IF(M753&gt;0,M756-L756+ROUND(L756*'B. Implementation Plan'!E287,0),0)</f>
        <v>0</v>
      </c>
      <c r="N757" s="324">
        <f ca="1">IF(N753&gt;0,N756-M756+ROUND(M756*'B. Implementation Plan'!E287,0),0)</f>
        <v>0</v>
      </c>
      <c r="O757" s="324">
        <f ca="1">IF(O753&gt;0,O756-N756+ROUND(N756*'B. Implementation Plan'!E287,0),0)</f>
        <v>0</v>
      </c>
      <c r="P757" s="325">
        <f ca="1">SUM(E757:O757)</f>
        <v>0</v>
      </c>
    </row>
    <row r="758" spans="1:16" x14ac:dyDescent="0.3">
      <c r="C758" s="406" t="s">
        <v>1042</v>
      </c>
      <c r="E758" s="15">
        <f ca="1">E754</f>
        <v>0</v>
      </c>
      <c r="F758" s="15">
        <f t="shared" ref="F758:O758" ca="1" si="497">F754+F756</f>
        <v>0</v>
      </c>
      <c r="G758" s="15">
        <f t="shared" ca="1" si="497"/>
        <v>0</v>
      </c>
      <c r="H758" s="15">
        <f t="shared" ca="1" si="497"/>
        <v>0</v>
      </c>
      <c r="I758" s="15">
        <f t="shared" ca="1" si="497"/>
        <v>0</v>
      </c>
      <c r="J758" s="15">
        <f t="shared" ca="1" si="497"/>
        <v>0</v>
      </c>
      <c r="K758" s="15">
        <f t="shared" ca="1" si="497"/>
        <v>0</v>
      </c>
      <c r="L758" s="15">
        <f t="shared" ca="1" si="497"/>
        <v>0</v>
      </c>
      <c r="M758" s="15">
        <f t="shared" ca="1" si="497"/>
        <v>0</v>
      </c>
      <c r="N758" s="15">
        <f t="shared" ca="1" si="497"/>
        <v>0</v>
      </c>
      <c r="O758" s="15">
        <f t="shared" ca="1" si="497"/>
        <v>0</v>
      </c>
      <c r="P758" s="354">
        <f ca="1">IF(O758=0,IF(N758=0,IF(M758=0,IF(L758=0,IF(K758=0,IF(J758=0,IF(I758=0,IF(H758=0,IF(G758=0,IF(F758=0,E758,F758),G758),H758),I758),J758),K758),L758),M758),N758),O758)</f>
        <v>0</v>
      </c>
    </row>
    <row r="759" spans="1:16" x14ac:dyDescent="0.3">
      <c r="C759" s="406" t="s">
        <v>1043</v>
      </c>
      <c r="F759" s="324">
        <f ca="1">F755+F757+IF(F753&gt;0,E757,0)</f>
        <v>0</v>
      </c>
      <c r="G759" s="324">
        <f t="shared" ref="G759:O759" ca="1" si="498">G755+G757</f>
        <v>0</v>
      </c>
      <c r="H759" s="324">
        <f t="shared" ca="1" si="498"/>
        <v>0</v>
      </c>
      <c r="I759" s="324">
        <f t="shared" ca="1" si="498"/>
        <v>0</v>
      </c>
      <c r="J759" s="324">
        <f t="shared" ca="1" si="498"/>
        <v>0</v>
      </c>
      <c r="K759" s="324">
        <f t="shared" ca="1" si="498"/>
        <v>0</v>
      </c>
      <c r="L759" s="324">
        <f t="shared" ca="1" si="498"/>
        <v>0</v>
      </c>
      <c r="M759" s="324">
        <f t="shared" ca="1" si="498"/>
        <v>0</v>
      </c>
      <c r="N759" s="324">
        <f t="shared" ca="1" si="498"/>
        <v>0</v>
      </c>
      <c r="O759" s="324">
        <f t="shared" ca="1" si="498"/>
        <v>0</v>
      </c>
      <c r="P759" s="325">
        <f ca="1">SUM(E759:O759)</f>
        <v>0</v>
      </c>
    </row>
    <row r="760" spans="1:16" x14ac:dyDescent="0.3">
      <c r="A760" s="1"/>
      <c r="B760" s="1"/>
      <c r="C760" s="14" t="s">
        <v>1044</v>
      </c>
      <c r="D760" s="368"/>
      <c r="E760" s="15">
        <f ca="1">IFERROR(ROUNDUP(E752/'B. Implementation Plan'!F285,0),0)</f>
        <v>0</v>
      </c>
      <c r="F760" s="15">
        <f ca="1">IFERROR(ROUNDUP(F752/'B. Implementation Plan'!F285,0),0)</f>
        <v>0</v>
      </c>
      <c r="G760" s="15">
        <f ca="1">IFERROR(ROUNDUP(G752/'B. Implementation Plan'!F285,0),0)</f>
        <v>0</v>
      </c>
      <c r="H760" s="15">
        <f ca="1">IFERROR(ROUNDUP(H752/'B. Implementation Plan'!F285,0),0)</f>
        <v>0</v>
      </c>
      <c r="I760" s="15">
        <f ca="1">IFERROR(ROUNDUP(I752/'B. Implementation Plan'!F285,0),0)</f>
        <v>0</v>
      </c>
      <c r="J760" s="15">
        <f ca="1">IFERROR(ROUNDUP(J752/'B. Implementation Plan'!F285,0),0)</f>
        <v>0</v>
      </c>
      <c r="K760" s="15">
        <f ca="1">IFERROR(ROUNDUP(K752/'B. Implementation Plan'!F285,0),0)</f>
        <v>0</v>
      </c>
      <c r="L760" s="15">
        <f ca="1">IFERROR(ROUNDUP(L752/'B. Implementation Plan'!F285,0),0)</f>
        <v>0</v>
      </c>
      <c r="M760" s="15">
        <f ca="1">IFERROR(ROUNDUP(M752/'B. Implementation Plan'!F285,0),0)</f>
        <v>0</v>
      </c>
      <c r="N760" s="15">
        <f ca="1">IFERROR(ROUNDUP(N752/'B. Implementation Plan'!F285,0),0)</f>
        <v>0</v>
      </c>
      <c r="O760" s="15">
        <f ca="1">IFERROR(ROUNDUP(O752/'B. Implementation Plan'!F285,0),0)</f>
        <v>0</v>
      </c>
      <c r="P760" s="78">
        <f ca="1">IF(O760=0,IF(N760=0,IF(M760=0,IF(L760=0,IF(K760=0,IF(J760=0,IF(I760=0,IF(H760=0,IF(G760=0,IF(F760=0,E760,F760),G760),H760),I760),J760),K760),L760),M760),N760),O760)</f>
        <v>0</v>
      </c>
    </row>
    <row r="761" spans="1:16" x14ac:dyDescent="0.3">
      <c r="C761" s="353" t="s">
        <v>1045</v>
      </c>
      <c r="E761" s="324">
        <f ca="1">IF(E760&gt;0,ROUND('B. Implementation Plan'!F284*(1-'B. Implementation Plan'!F287)^E751,0),0)</f>
        <v>0</v>
      </c>
      <c r="F761" s="324">
        <f ca="1">IF(F760&gt;0,ROUND('B. Implementation Plan'!F284*(1-'B. Implementation Plan'!F287)^F751,0),0)</f>
        <v>0</v>
      </c>
      <c r="G761" s="324">
        <f ca="1">IF(G760&gt;0,ROUND('B. Implementation Plan'!F284*(1-'B. Implementation Plan'!F287)^G751,0),0)</f>
        <v>0</v>
      </c>
      <c r="H761" s="324">
        <f ca="1">IF(H760&gt;0,ROUND('B. Implementation Plan'!F284*(1-'B. Implementation Plan'!F287)^H751,0),0)</f>
        <v>0</v>
      </c>
      <c r="I761" s="324">
        <f ca="1">IF(I760&gt;0,ROUND('B. Implementation Plan'!F284*(1-'B. Implementation Plan'!F287)^I751,0),0)</f>
        <v>0</v>
      </c>
      <c r="J761" s="324">
        <f ca="1">IF(J760&gt;0,ROUND('B. Implementation Plan'!F284*(1-'B. Implementation Plan'!F287)^J751,0),0)</f>
        <v>0</v>
      </c>
      <c r="K761" s="324">
        <f ca="1">IF(K760&gt;0,ROUND('B. Implementation Plan'!F284*(1-'B. Implementation Plan'!F287)^K751,0),0)</f>
        <v>0</v>
      </c>
      <c r="L761" s="324">
        <f ca="1">IF(L760&gt;0,ROUND('B. Implementation Plan'!F284*(1-'B. Implementation Plan'!F287)^L751,0),0)</f>
        <v>0</v>
      </c>
      <c r="M761" s="324">
        <f ca="1">IF(M760&gt;0,ROUND('B. Implementation Plan'!F284*(1-'B. Implementation Plan'!F287)^M751,0),0)</f>
        <v>0</v>
      </c>
      <c r="N761" s="324">
        <f ca="1">IF(N760&gt;0,ROUND('B. Implementation Plan'!F284*(1-'B. Implementation Plan'!F287)^N751,0),0)</f>
        <v>0</v>
      </c>
      <c r="O761" s="324">
        <f ca="1">IF(O760&gt;0,ROUND('B. Implementation Plan'!F284*(1-'B. Implementation Plan'!F287)^O751,0),0)</f>
        <v>0</v>
      </c>
      <c r="P761" s="78">
        <f ca="1">IF(O761=0,IF(N761=0,IF(M761=0,IF(L761=0,IF(K761=0,IF(J761=0,IF(I761=0,IF(H761=0,IF(G761=0,IF(F761=0,E761,F761),G761),H761),I761),J761),K761),L761),M761),N761),O761)</f>
        <v>0</v>
      </c>
    </row>
    <row r="762" spans="1:16" s="1" customFormat="1" x14ac:dyDescent="0.3">
      <c r="C762" s="353" t="s">
        <v>1046</v>
      </c>
      <c r="E762" s="380"/>
      <c r="F762" s="324">
        <f>IFERROR(IF(F751&lt;=ROUNDUP(1/'B. Implementation Plan'!F289,0),ROUND(IF(AND(F751-1/'B. Implementation Plan'!F289&lt;1,F751-1/'B. Implementation Plan'!F289&gt;0),F761*MOD(1/'B. Implementation Plan'!F289,1)/(1/'B. Implementation Plan'!F289),MIN(F761-SUM(E762:E762),F761*'B. Implementation Plan'!F289)),0),0),0)</f>
        <v>0</v>
      </c>
      <c r="G762" s="324">
        <f>IFERROR(IF(G751&lt;=ROUNDUP(1/'B. Implementation Plan'!F289,0),ROUND(IF(AND(G751-1/'B. Implementation Plan'!F289&lt;1,G751-1/'B. Implementation Plan'!F289&gt;0),G761*MOD(1/'B. Implementation Plan'!F289,1)/(1/'B. Implementation Plan'!F289),MIN(G761-SUM(E762:F762),G761*'B. Implementation Plan'!F289)),0),0),0)</f>
        <v>0</v>
      </c>
      <c r="H762" s="324">
        <f>IFERROR(IF(H751&lt;=ROUNDUP(1/'B. Implementation Plan'!F289,0),ROUND(IF(AND(H751-1/'B. Implementation Plan'!F289&lt;1,H751-1/'B. Implementation Plan'!F289&gt;0),H761*MOD(1/'B. Implementation Plan'!F289,1)/(1/'B. Implementation Plan'!F289),MIN(H761-SUM(E762:G762),H761*'B. Implementation Plan'!F289)),0),0),0)</f>
        <v>0</v>
      </c>
      <c r="I762" s="324">
        <f>IFERROR(IF(I751&lt;=ROUNDUP(1/'B. Implementation Plan'!F289,0),ROUND(IF(AND(I751-1/'B. Implementation Plan'!F289&lt;1,I751-1/'B. Implementation Plan'!F289&gt;0),I761*MOD(1/'B. Implementation Plan'!F289,1)/(1/'B. Implementation Plan'!F289),MIN(I761-SUM(E762:H762),I761*'B. Implementation Plan'!F289)),0),0),0)</f>
        <v>0</v>
      </c>
      <c r="J762" s="324">
        <f>IFERROR(IF(J751&lt;=ROUNDUP(1/'B. Implementation Plan'!F289,0),ROUND(IF(AND(J751-1/'B. Implementation Plan'!F289&lt;1,J751-1/'B. Implementation Plan'!F289&gt;0),J761*MOD(1/'B. Implementation Plan'!F289,1)/(1/'B. Implementation Plan'!F289),MIN(J761-SUM(E762:I762),J761*'B. Implementation Plan'!F289)),0),0),0)</f>
        <v>0</v>
      </c>
      <c r="K762" s="324">
        <f>IFERROR(IF(K751&lt;=ROUNDUP(1/'B. Implementation Plan'!F289,0),ROUND(IF(AND(K751-1/'B. Implementation Plan'!F289&lt;1,K751-1/'B. Implementation Plan'!F289&gt;0),K761*MOD(1/'B. Implementation Plan'!F289,1)/(1/'B. Implementation Plan'!F289),MIN(K761-SUM(E762:J762),K761*'B. Implementation Plan'!F289)),0),0),0)</f>
        <v>0</v>
      </c>
      <c r="L762" s="324">
        <f>IFERROR(IF(L751&lt;=ROUNDUP(1/'B. Implementation Plan'!F289,0),ROUND(IF(AND(L751-1/'B. Implementation Plan'!F289&lt;1,L751-1/'B. Implementation Plan'!F289&gt;0),L761*MOD(1/'B. Implementation Plan'!F289,1)/(1/'B. Implementation Plan'!F289),MIN(L761-SUM(E762:K762),L761*'B. Implementation Plan'!F289)),0),0),0)</f>
        <v>0</v>
      </c>
      <c r="M762" s="324">
        <f>IFERROR(IF(M751&lt;=ROUNDUP(1/'B. Implementation Plan'!F289,0),ROUND(IF(AND(M751-1/'B. Implementation Plan'!F289&lt;1,M751-1/'B. Implementation Plan'!F289&gt;0),M761*MOD(1/'B. Implementation Plan'!F289,1)/(1/'B. Implementation Plan'!F289),MIN(M761-SUM(E762:L762),M761*'B. Implementation Plan'!F289)),0),0),0)</f>
        <v>0</v>
      </c>
      <c r="N762" s="324">
        <f>IFERROR(IF(N751&lt;=ROUNDUP(1/'B. Implementation Plan'!F289,0),ROUND(IF(AND(N751-1/'B. Implementation Plan'!F289&lt;1,N751-1/'B. Implementation Plan'!F289&gt;0),N761*MOD(1/'B. Implementation Plan'!F289,1)/(1/'B. Implementation Plan'!F289),MIN(N761-SUM(E762:M762),N761*'B. Implementation Plan'!F289)),0),0),0)</f>
        <v>0</v>
      </c>
      <c r="O762" s="324">
        <f>IFERROR(IF(O751&lt;=ROUNDUP(1/'B. Implementation Plan'!F289,0),ROUND(IF(AND(O751-1/'B. Implementation Plan'!F289&lt;1,O751-1/'B. Implementation Plan'!F289&gt;0),O761*MOD(1/'B. Implementation Plan'!F289,1)/(1/'B. Implementation Plan'!F289),MIN(O761-SUM(E762:N762),O761*'B. Implementation Plan'!F289)),0),0),0)</f>
        <v>0</v>
      </c>
      <c r="P762" s="325">
        <f>SUM(E762:O762)</f>
        <v>0</v>
      </c>
    </row>
    <row r="763" spans="1:16" x14ac:dyDescent="0.3">
      <c r="C763" s="14" t="s">
        <v>1047</v>
      </c>
      <c r="E763" s="15">
        <f t="shared" ref="E763:O763" ca="1" si="499">MAX(E760-E761,0)</f>
        <v>0</v>
      </c>
      <c r="F763" s="15">
        <f t="shared" ca="1" si="499"/>
        <v>0</v>
      </c>
      <c r="G763" s="15">
        <f t="shared" ca="1" si="499"/>
        <v>0</v>
      </c>
      <c r="H763" s="15">
        <f t="shared" ca="1" si="499"/>
        <v>0</v>
      </c>
      <c r="I763" s="15">
        <f t="shared" ca="1" si="499"/>
        <v>0</v>
      </c>
      <c r="J763" s="15">
        <f t="shared" ca="1" si="499"/>
        <v>0</v>
      </c>
      <c r="K763" s="15">
        <f t="shared" ca="1" si="499"/>
        <v>0</v>
      </c>
      <c r="L763" s="15">
        <f t="shared" ca="1" si="499"/>
        <v>0</v>
      </c>
      <c r="M763" s="15">
        <f t="shared" ca="1" si="499"/>
        <v>0</v>
      </c>
      <c r="N763" s="15">
        <f t="shared" ca="1" si="499"/>
        <v>0</v>
      </c>
      <c r="O763" s="366">
        <f t="shared" ca="1" si="499"/>
        <v>0</v>
      </c>
      <c r="P763" s="354">
        <f ca="1">IF(O763=0,IF(N763=0,IF(M763=0,IF(L763=0,IF(K763=0,IF(J763=0,IF(I763=0,IF(H763=0,IF(G763=0,IF(F763=0,E763,F763),G763),H763),I763),J763),K763),L763),M763),N763),O763)</f>
        <v>0</v>
      </c>
    </row>
    <row r="764" spans="1:16" x14ac:dyDescent="0.3">
      <c r="C764" s="353" t="s">
        <v>1048</v>
      </c>
      <c r="E764" s="324">
        <f ca="1">IF(E760&gt;0,E763-D763+ROUND(D763*'B. Implementation Plan'!F287,0),0)</f>
        <v>0</v>
      </c>
      <c r="F764" s="324">
        <f ca="1">IF(F760&gt;0,F763-E763+ROUND(E763*'B. Implementation Plan'!F287,0),0)</f>
        <v>0</v>
      </c>
      <c r="G764" s="324">
        <f ca="1">IF(G760&gt;0,G763-F763+ROUND(F763*'B. Implementation Plan'!F287,0),0)</f>
        <v>0</v>
      </c>
      <c r="H764" s="324">
        <f ca="1">IF(H760&gt;0,H763-G763+ROUND(G763*'B. Implementation Plan'!F287,0),0)</f>
        <v>0</v>
      </c>
      <c r="I764" s="324">
        <f ca="1">IF(I760&gt;0,I763-H763+ROUND(H763*'B. Implementation Plan'!F287,0),0)</f>
        <v>0</v>
      </c>
      <c r="J764" s="324">
        <f ca="1">IF(J760&gt;0,J763-I763+ROUND(I763*'B. Implementation Plan'!F287,0),0)</f>
        <v>0</v>
      </c>
      <c r="K764" s="324">
        <f ca="1">IF(K760&gt;0,K763-J763+ROUND(J763*'B. Implementation Plan'!F287,0),0)</f>
        <v>0</v>
      </c>
      <c r="L764" s="324">
        <f ca="1">IF(L760&gt;0,L763-K763+ROUND(K763*'B. Implementation Plan'!F287,0),0)</f>
        <v>0</v>
      </c>
      <c r="M764" s="324">
        <f ca="1">IF(M760&gt;0,M763-L763+ROUND(L763*'B. Implementation Plan'!F287,0),0)</f>
        <v>0</v>
      </c>
      <c r="N764" s="324">
        <f ca="1">IF(N760&gt;0,N763-M763+ROUND(M763*'B. Implementation Plan'!F287,0),0)</f>
        <v>0</v>
      </c>
      <c r="O764" s="324">
        <f ca="1">IF(O760&gt;0,O763-N763+ROUND(N763*'B. Implementation Plan'!F287,0),0)</f>
        <v>0</v>
      </c>
      <c r="P764" s="325">
        <f ca="1">SUM(E764:O764)</f>
        <v>0</v>
      </c>
    </row>
    <row r="765" spans="1:16" x14ac:dyDescent="0.3">
      <c r="C765" s="406" t="s">
        <v>1049</v>
      </c>
      <c r="E765" s="15">
        <f ca="1">E761</f>
        <v>0</v>
      </c>
      <c r="F765" s="15">
        <f t="shared" ref="F765:O765" ca="1" si="500">F761+F763</f>
        <v>0</v>
      </c>
      <c r="G765" s="15">
        <f t="shared" ca="1" si="500"/>
        <v>0</v>
      </c>
      <c r="H765" s="15">
        <f t="shared" ca="1" si="500"/>
        <v>0</v>
      </c>
      <c r="I765" s="15">
        <f t="shared" ca="1" si="500"/>
        <v>0</v>
      </c>
      <c r="J765" s="15">
        <f t="shared" ca="1" si="500"/>
        <v>0</v>
      </c>
      <c r="K765" s="15">
        <f t="shared" ca="1" si="500"/>
        <v>0</v>
      </c>
      <c r="L765" s="15">
        <f t="shared" ca="1" si="500"/>
        <v>0</v>
      </c>
      <c r="M765" s="15">
        <f t="shared" ca="1" si="500"/>
        <v>0</v>
      </c>
      <c r="N765" s="15">
        <f t="shared" ca="1" si="500"/>
        <v>0</v>
      </c>
      <c r="O765" s="15">
        <f t="shared" ca="1" si="500"/>
        <v>0</v>
      </c>
      <c r="P765" s="354">
        <f ca="1">IF(O765=0,IF(N765=0,IF(M765=0,IF(L765=0,IF(K765=0,IF(J765=0,IF(I765=0,IF(H765=0,IF(G765=0,IF(F765=0,E765,F765),G765),H765),I765),J765),K765),L765),M765),N765),O765)</f>
        <v>0</v>
      </c>
    </row>
    <row r="766" spans="1:16" x14ac:dyDescent="0.3">
      <c r="C766" s="406" t="s">
        <v>1050</v>
      </c>
      <c r="F766" s="324">
        <f ca="1">F762+F764+IF(F760&gt;0,E764,0)</f>
        <v>0</v>
      </c>
      <c r="G766" s="324">
        <f t="shared" ref="G766:O766" ca="1" si="501">G762+G764</f>
        <v>0</v>
      </c>
      <c r="H766" s="324">
        <f t="shared" ca="1" si="501"/>
        <v>0</v>
      </c>
      <c r="I766" s="324">
        <f t="shared" ca="1" si="501"/>
        <v>0</v>
      </c>
      <c r="J766" s="324">
        <f t="shared" ca="1" si="501"/>
        <v>0</v>
      </c>
      <c r="K766" s="324">
        <f t="shared" ca="1" si="501"/>
        <v>0</v>
      </c>
      <c r="L766" s="324">
        <f t="shared" ca="1" si="501"/>
        <v>0</v>
      </c>
      <c r="M766" s="324">
        <f t="shared" ca="1" si="501"/>
        <v>0</v>
      </c>
      <c r="N766" s="324">
        <f t="shared" ca="1" si="501"/>
        <v>0</v>
      </c>
      <c r="O766" s="324">
        <f t="shared" ca="1" si="501"/>
        <v>0</v>
      </c>
      <c r="P766" s="325">
        <f ca="1">SUM(E766:O766)</f>
        <v>0</v>
      </c>
    </row>
    <row r="767" spans="1:16" x14ac:dyDescent="0.3">
      <c r="A767" s="1"/>
      <c r="B767" s="1"/>
      <c r="C767" s="14" t="s">
        <v>1051</v>
      </c>
      <c r="D767" s="368"/>
      <c r="E767" s="15">
        <f ca="1">IFERROR(ROUNDUP(E752/'B. Implementation Plan'!G285,0),0)</f>
        <v>0</v>
      </c>
      <c r="F767" s="15">
        <f ca="1">IFERROR(ROUNDUP(F752/'B. Implementation Plan'!G285,0),0)</f>
        <v>0</v>
      </c>
      <c r="G767" s="15">
        <f ca="1">IFERROR(ROUNDUP(G752/'B. Implementation Plan'!G285,0),0)</f>
        <v>0</v>
      </c>
      <c r="H767" s="15">
        <f ca="1">IFERROR(ROUNDUP(H752/'B. Implementation Plan'!G285,0),0)</f>
        <v>0</v>
      </c>
      <c r="I767" s="15">
        <f ca="1">IFERROR(ROUNDUP(I752/'B. Implementation Plan'!G285,0),0)</f>
        <v>0</v>
      </c>
      <c r="J767" s="15">
        <f ca="1">IFERROR(ROUNDUP(J752/'B. Implementation Plan'!G285,0),0)</f>
        <v>0</v>
      </c>
      <c r="K767" s="15">
        <f ca="1">IFERROR(ROUNDUP(K752/'B. Implementation Plan'!G285,0),0)</f>
        <v>0</v>
      </c>
      <c r="L767" s="15">
        <f ca="1">IFERROR(ROUNDUP(L752/'B. Implementation Plan'!G285,0),0)</f>
        <v>0</v>
      </c>
      <c r="M767" s="15">
        <f ca="1">IFERROR(ROUNDUP(M752/'B. Implementation Plan'!G285,0),0)</f>
        <v>0</v>
      </c>
      <c r="N767" s="15">
        <f ca="1">IFERROR(ROUNDUP(N752/'B. Implementation Plan'!G285,0),0)</f>
        <v>0</v>
      </c>
      <c r="O767" s="15">
        <f ca="1">IFERROR(ROUNDUP(O752/'B. Implementation Plan'!G285,0),0)</f>
        <v>0</v>
      </c>
      <c r="P767" s="78">
        <f ca="1">IF(O767=0,IF(N767=0,IF(M767=0,IF(L767=0,IF(K767=0,IF(J767=0,IF(I767=0,IF(H767=0,IF(G767=0,IF(F767=0,E767,F767),G767),H767),I767),J767),K767),L767),M767),N767),O767)</f>
        <v>0</v>
      </c>
    </row>
    <row r="768" spans="1:16" x14ac:dyDescent="0.3">
      <c r="C768" s="353" t="s">
        <v>1052</v>
      </c>
      <c r="E768" s="324">
        <f ca="1">IF(E767&gt;0,ROUND('B. Implementation Plan'!G284*(1-'B. Implementation Plan'!G287)^E751,0),0)</f>
        <v>0</v>
      </c>
      <c r="F768" s="324">
        <f ca="1">IF(F767&gt;0,ROUND('B. Implementation Plan'!G284*(1-'B. Implementation Plan'!G287)^F751,0),0)</f>
        <v>0</v>
      </c>
      <c r="G768" s="324">
        <f ca="1">IF(G767&gt;0,ROUND('B. Implementation Plan'!G284*(1-'B. Implementation Plan'!G287)^G751,0),0)</f>
        <v>0</v>
      </c>
      <c r="H768" s="324">
        <f ca="1">IF(H767&gt;0,ROUND('B. Implementation Plan'!G284*(1-'B. Implementation Plan'!G287)^H751,0),0)</f>
        <v>0</v>
      </c>
      <c r="I768" s="324">
        <f ca="1">IF(I767&gt;0,ROUND('B. Implementation Plan'!G284*(1-'B. Implementation Plan'!G287)^I751,0),0)</f>
        <v>0</v>
      </c>
      <c r="J768" s="324">
        <f ca="1">IF(J767&gt;0,ROUND('B. Implementation Plan'!G284*(1-'B. Implementation Plan'!G287)^J751,0),0)</f>
        <v>0</v>
      </c>
      <c r="K768" s="324">
        <f ca="1">IF(K767&gt;0,ROUND('B. Implementation Plan'!G284*(1-'B. Implementation Plan'!G287)^K751,0),0)</f>
        <v>0</v>
      </c>
      <c r="L768" s="324">
        <f ca="1">IF(L767&gt;0,ROUND('B. Implementation Plan'!G284*(1-'B. Implementation Plan'!G287)^L751,0),0)</f>
        <v>0</v>
      </c>
      <c r="M768" s="324">
        <f ca="1">IF(M767&gt;0,ROUND('B. Implementation Plan'!G284*(1-'B. Implementation Plan'!G287)^M751,0),0)</f>
        <v>0</v>
      </c>
      <c r="N768" s="324">
        <f ca="1">IF(N767&gt;0,ROUND('B. Implementation Plan'!G284*(1-'B. Implementation Plan'!G287)^N751,0),0)</f>
        <v>0</v>
      </c>
      <c r="O768" s="324">
        <f ca="1">IF(O767&gt;0,ROUND('B. Implementation Plan'!G284*(1-'B. Implementation Plan'!G287)^O751,0),0)</f>
        <v>0</v>
      </c>
      <c r="P768" s="78">
        <f ca="1">IF(O768=0,IF(N768=0,IF(M768=0,IF(L768=0,IF(K768=0,IF(J768=0,IF(I768=0,IF(H768=0,IF(G768=0,IF(F768=0,E768,F768),G768),H768),I768),J768),K768),L768),M768),N768),O768)</f>
        <v>0</v>
      </c>
    </row>
    <row r="769" spans="1:16" s="1" customFormat="1" x14ac:dyDescent="0.3">
      <c r="C769" s="353" t="s">
        <v>1053</v>
      </c>
      <c r="E769" s="380"/>
      <c r="F769" s="324">
        <f>IFERROR(IF(F751&lt;=ROUNDUP(1/'B. Implementation Plan'!G289,0),ROUND(IF(AND(F751-1/'B. Implementation Plan'!G289&lt;1,F751-1/'B. Implementation Plan'!G289&gt;0),F768*MOD(1/'B. Implementation Plan'!G289,1)/(1/'B. Implementation Plan'!G289),MIN(F768-SUM(E769:E769),F768*'B. Implementation Plan'!G289)),0),0),0)</f>
        <v>0</v>
      </c>
      <c r="G769" s="324">
        <f>IFERROR(IF(G751&lt;=ROUNDUP(1/'B. Implementation Plan'!G289,0),ROUND(IF(AND(G751-1/'B. Implementation Plan'!G289&lt;1,G751-1/'B. Implementation Plan'!G289&gt;0),G768*MOD(1/'B. Implementation Plan'!G289,1)/(1/'B. Implementation Plan'!G289),MIN(G768-SUM(E769:F769),G768*'B. Implementation Plan'!G289)),0),0),0)</f>
        <v>0</v>
      </c>
      <c r="H769" s="324">
        <f>IFERROR(IF(H751&lt;=ROUNDUP(1/'B. Implementation Plan'!G289,0),ROUND(IF(AND(H751-1/'B. Implementation Plan'!G289&lt;1,H751-1/'B. Implementation Plan'!G289&gt;0),H768*MOD(1/'B. Implementation Plan'!G289,1)/(1/'B. Implementation Plan'!G289),MIN(H768-SUM(E769:G769),H768*'B. Implementation Plan'!G289)),0),0),0)</f>
        <v>0</v>
      </c>
      <c r="I769" s="324">
        <f>IFERROR(IF(I751&lt;=ROUNDUP(1/'B. Implementation Plan'!G289,0),ROUND(IF(AND(I751-1/'B. Implementation Plan'!G289&lt;1,I751-1/'B. Implementation Plan'!G289&gt;0),I768*MOD(1/'B. Implementation Plan'!G289,1)/(1/'B. Implementation Plan'!G289),MIN(I768-SUM(E769:H769),I768*'B. Implementation Plan'!G289)),0),0),0)</f>
        <v>0</v>
      </c>
      <c r="J769" s="324">
        <f>IFERROR(IF(J751&lt;=ROUNDUP(1/'B. Implementation Plan'!G289,0),ROUND(IF(AND(J751-1/'B. Implementation Plan'!G289&lt;1,J751-1/'B. Implementation Plan'!G289&gt;0),J768*MOD(1/'B. Implementation Plan'!G289,1)/(1/'B. Implementation Plan'!G289),MIN(J768-SUM(E769:I769),J768*'B. Implementation Plan'!G289)),0),0),0)</f>
        <v>0</v>
      </c>
      <c r="K769" s="324">
        <f>IFERROR(IF(K751&lt;=ROUNDUP(1/'B. Implementation Plan'!G289,0),ROUND(IF(AND(K751-1/'B. Implementation Plan'!G289&lt;1,K751-1/'B. Implementation Plan'!G289&gt;0),K768*MOD(1/'B. Implementation Plan'!G289,1)/(1/'B. Implementation Plan'!G289),MIN(K768-SUM(E769:J769),K768*'B. Implementation Plan'!G289)),0),0),0)</f>
        <v>0</v>
      </c>
      <c r="L769" s="324">
        <f>IFERROR(IF(L751&lt;=ROUNDUP(1/'B. Implementation Plan'!G289,0),ROUND(IF(AND(L751-1/'B. Implementation Plan'!G289&lt;1,L751-1/'B. Implementation Plan'!G289&gt;0),L768*MOD(1/'B. Implementation Plan'!G289,1)/(1/'B. Implementation Plan'!G289),MIN(L768-SUM(E769:K769),L768*'B. Implementation Plan'!G289)),0),0),0)</f>
        <v>0</v>
      </c>
      <c r="M769" s="324">
        <f>IFERROR(IF(M751&lt;=ROUNDUP(1/'B. Implementation Plan'!G289,0),ROUND(IF(AND(M751-1/'B. Implementation Plan'!G289&lt;1,M751-1/'B. Implementation Plan'!G289&gt;0),M768*MOD(1/'B. Implementation Plan'!G289,1)/(1/'B. Implementation Plan'!G289),MIN(M768-SUM(E769:L769),M768*'B. Implementation Plan'!G289)),0),0),0)</f>
        <v>0</v>
      </c>
      <c r="N769" s="324">
        <f>IFERROR(IF(N751&lt;=ROUNDUP(1/'B. Implementation Plan'!G289,0),ROUND(IF(AND(N751-1/'B. Implementation Plan'!G289&lt;1,N751-1/'B. Implementation Plan'!G289&gt;0),N768*MOD(1/'B. Implementation Plan'!G289,1)/(1/'B. Implementation Plan'!G289),MIN(N768-SUM(E769:M769),N768*'B. Implementation Plan'!G289)),0),0),0)</f>
        <v>0</v>
      </c>
      <c r="O769" s="324">
        <f>IFERROR(IF(O751&lt;=ROUNDUP(1/'B. Implementation Plan'!G289,0),ROUND(IF(AND(O751-1/'B. Implementation Plan'!G289&lt;1,O751-1/'B. Implementation Plan'!G289&gt;0),O768*MOD(1/'B. Implementation Plan'!G289,1)/(1/'B. Implementation Plan'!G289),MIN(O768-SUM(E769:N769),O768*'B. Implementation Plan'!G289)),0),0),0)</f>
        <v>0</v>
      </c>
      <c r="P769" s="325">
        <f>SUM(E769:O769)</f>
        <v>0</v>
      </c>
    </row>
    <row r="770" spans="1:16" x14ac:dyDescent="0.3">
      <c r="C770" s="14" t="s">
        <v>1054</v>
      </c>
      <c r="E770" s="15">
        <f t="shared" ref="E770:O770" ca="1" si="502">MAX(E767-E768,0)</f>
        <v>0</v>
      </c>
      <c r="F770" s="15">
        <f t="shared" ca="1" si="502"/>
        <v>0</v>
      </c>
      <c r="G770" s="15">
        <f t="shared" ca="1" si="502"/>
        <v>0</v>
      </c>
      <c r="H770" s="15">
        <f t="shared" ca="1" si="502"/>
        <v>0</v>
      </c>
      <c r="I770" s="15">
        <f t="shared" ca="1" si="502"/>
        <v>0</v>
      </c>
      <c r="J770" s="15">
        <f t="shared" ca="1" si="502"/>
        <v>0</v>
      </c>
      <c r="K770" s="15">
        <f t="shared" ca="1" si="502"/>
        <v>0</v>
      </c>
      <c r="L770" s="15">
        <f t="shared" ca="1" si="502"/>
        <v>0</v>
      </c>
      <c r="M770" s="15">
        <f t="shared" ca="1" si="502"/>
        <v>0</v>
      </c>
      <c r="N770" s="15">
        <f t="shared" ca="1" si="502"/>
        <v>0</v>
      </c>
      <c r="O770" s="366">
        <f t="shared" ca="1" si="502"/>
        <v>0</v>
      </c>
      <c r="P770" s="354">
        <f ca="1">IF(O770=0,IF(N770=0,IF(M770=0,IF(L770=0,IF(K770=0,IF(J770=0,IF(I770=0,IF(H770=0,IF(G770=0,IF(F770=0,E770,F770),G770),H770),I770),J770),K770),L770),M770),N770),O770)</f>
        <v>0</v>
      </c>
    </row>
    <row r="771" spans="1:16" x14ac:dyDescent="0.3">
      <c r="C771" s="353" t="s">
        <v>1055</v>
      </c>
      <c r="E771" s="324">
        <f ca="1">IF(E767&gt;0,E770-D770+ROUND(D770*'B. Implementation Plan'!G287,0),0)</f>
        <v>0</v>
      </c>
      <c r="F771" s="324">
        <f ca="1">IF(F767&gt;0,F770-E770+ROUND(E770*'B. Implementation Plan'!G287,0),0)</f>
        <v>0</v>
      </c>
      <c r="G771" s="324">
        <f ca="1">IF(G767&gt;0,G770-F770+ROUND(F770*'B. Implementation Plan'!G287,0),0)</f>
        <v>0</v>
      </c>
      <c r="H771" s="324">
        <f ca="1">IF(H767&gt;0,H770-G770+ROUND(G770*'B. Implementation Plan'!G287,0),0)</f>
        <v>0</v>
      </c>
      <c r="I771" s="324">
        <f ca="1">IF(I767&gt;0,I770-H770+ROUND(H770*'B. Implementation Plan'!G287,0),0)</f>
        <v>0</v>
      </c>
      <c r="J771" s="324">
        <f ca="1">IF(J767&gt;0,J770-I770+ROUND(I770*'B. Implementation Plan'!G287,0),0)</f>
        <v>0</v>
      </c>
      <c r="K771" s="324">
        <f ca="1">IF(K767&gt;0,K770-J770+ROUND(J770*'B. Implementation Plan'!G287,0),0)</f>
        <v>0</v>
      </c>
      <c r="L771" s="324">
        <f ca="1">IF(L767&gt;0,L770-K770+ROUND(K770*'B. Implementation Plan'!G287,0),0)</f>
        <v>0</v>
      </c>
      <c r="M771" s="324">
        <f ca="1">IF(M767&gt;0,M770-L770+ROUND(L770*'B. Implementation Plan'!G287,0),0)</f>
        <v>0</v>
      </c>
      <c r="N771" s="324">
        <f ca="1">IF(N767&gt;0,N770-M770+ROUND(M770*'B. Implementation Plan'!G287,0),0)</f>
        <v>0</v>
      </c>
      <c r="O771" s="324">
        <f ca="1">IF(O767&gt;0,O770-N770+ROUND(N770*'B. Implementation Plan'!G287,0),0)</f>
        <v>0</v>
      </c>
      <c r="P771" s="325">
        <f ca="1">SUM(E771:O771)</f>
        <v>0</v>
      </c>
    </row>
    <row r="772" spans="1:16" x14ac:dyDescent="0.3">
      <c r="C772" s="406" t="s">
        <v>1056</v>
      </c>
      <c r="E772" s="15">
        <f ca="1">E768</f>
        <v>0</v>
      </c>
      <c r="F772" s="15">
        <f t="shared" ref="F772:O772" ca="1" si="503">F768+F770</f>
        <v>0</v>
      </c>
      <c r="G772" s="15">
        <f t="shared" ca="1" si="503"/>
        <v>0</v>
      </c>
      <c r="H772" s="15">
        <f t="shared" ca="1" si="503"/>
        <v>0</v>
      </c>
      <c r="I772" s="15">
        <f t="shared" ca="1" si="503"/>
        <v>0</v>
      </c>
      <c r="J772" s="15">
        <f t="shared" ca="1" si="503"/>
        <v>0</v>
      </c>
      <c r="K772" s="15">
        <f t="shared" ca="1" si="503"/>
        <v>0</v>
      </c>
      <c r="L772" s="15">
        <f t="shared" ca="1" si="503"/>
        <v>0</v>
      </c>
      <c r="M772" s="15">
        <f t="shared" ca="1" si="503"/>
        <v>0</v>
      </c>
      <c r="N772" s="15">
        <f t="shared" ca="1" si="503"/>
        <v>0</v>
      </c>
      <c r="O772" s="15">
        <f t="shared" ca="1" si="503"/>
        <v>0</v>
      </c>
      <c r="P772" s="354">
        <f ca="1">IF(O772=0,IF(N772=0,IF(M772=0,IF(L772=0,IF(K772=0,IF(J772=0,IF(I772=0,IF(H772=0,IF(G772=0,IF(F772=0,E772,F772),G772),H772),I772),J772),K772),L772),M772),N772),O772)</f>
        <v>0</v>
      </c>
    </row>
    <row r="773" spans="1:16" x14ac:dyDescent="0.3">
      <c r="C773" s="406" t="s">
        <v>1057</v>
      </c>
      <c r="F773" s="324">
        <f ca="1">F769+F771+IF(F767&gt;0,E771,0)</f>
        <v>0</v>
      </c>
      <c r="G773" s="324">
        <f t="shared" ref="G773:O773" ca="1" si="504">G769+G771</f>
        <v>0</v>
      </c>
      <c r="H773" s="324">
        <f t="shared" ca="1" si="504"/>
        <v>0</v>
      </c>
      <c r="I773" s="324">
        <f t="shared" ca="1" si="504"/>
        <v>0</v>
      </c>
      <c r="J773" s="324">
        <f t="shared" ca="1" si="504"/>
        <v>0</v>
      </c>
      <c r="K773" s="324">
        <f t="shared" ca="1" si="504"/>
        <v>0</v>
      </c>
      <c r="L773" s="324">
        <f t="shared" ca="1" si="504"/>
        <v>0</v>
      </c>
      <c r="M773" s="324">
        <f t="shared" ca="1" si="504"/>
        <v>0</v>
      </c>
      <c r="N773" s="324">
        <f t="shared" ca="1" si="504"/>
        <v>0</v>
      </c>
      <c r="O773" s="324">
        <f t="shared" ca="1" si="504"/>
        <v>0</v>
      </c>
      <c r="P773" s="325">
        <f ca="1">SUM(E773:O773)</f>
        <v>0</v>
      </c>
    </row>
    <row r="774" spans="1:16" x14ac:dyDescent="0.3">
      <c r="A774" s="1"/>
      <c r="B774" s="1"/>
      <c r="C774" s="14" t="s">
        <v>1058</v>
      </c>
      <c r="D774" s="368"/>
      <c r="E774" s="15">
        <f ca="1">IFERROR(ROUNDUP(E752/'B. Implementation Plan'!H285,0),0)</f>
        <v>0</v>
      </c>
      <c r="F774" s="15">
        <f ca="1">IFERROR(ROUNDUP(F752/'B. Implementation Plan'!H285,0),0)</f>
        <v>0</v>
      </c>
      <c r="G774" s="15">
        <f ca="1">IFERROR(ROUNDUP(G752/'B. Implementation Plan'!H285,0),0)</f>
        <v>0</v>
      </c>
      <c r="H774" s="15">
        <f ca="1">IFERROR(ROUNDUP(H752/'B. Implementation Plan'!H285,0),0)</f>
        <v>0</v>
      </c>
      <c r="I774" s="15">
        <f ca="1">IFERROR(ROUNDUP(I752/'B. Implementation Plan'!H285,0),0)</f>
        <v>0</v>
      </c>
      <c r="J774" s="15">
        <f ca="1">IFERROR(ROUNDUP(J752/'B. Implementation Plan'!H285,0),0)</f>
        <v>0</v>
      </c>
      <c r="K774" s="15">
        <f ca="1">IFERROR(ROUNDUP(K752/'B. Implementation Plan'!H285,0),0)</f>
        <v>0</v>
      </c>
      <c r="L774" s="15">
        <f ca="1">IFERROR(ROUNDUP(L752/'B. Implementation Plan'!H285,0),0)</f>
        <v>0</v>
      </c>
      <c r="M774" s="15">
        <f ca="1">IFERROR(ROUNDUP(M752/'B. Implementation Plan'!H285,0),0)</f>
        <v>0</v>
      </c>
      <c r="N774" s="15">
        <f ca="1">IFERROR(ROUNDUP(N752/'B. Implementation Plan'!H285,0),0)</f>
        <v>0</v>
      </c>
      <c r="O774" s="15">
        <f ca="1">IFERROR(ROUNDUP(O752/'B. Implementation Plan'!H285,0),0)</f>
        <v>0</v>
      </c>
      <c r="P774" s="78">
        <f ca="1">IF(O774=0,IF(N774=0,IF(M774=0,IF(L774=0,IF(K774=0,IF(J774=0,IF(I774=0,IF(H774=0,IF(G774=0,IF(F774=0,E774,F774),G774),H774),I774),J774),K774),L774),M774),N774),O774)</f>
        <v>0</v>
      </c>
    </row>
    <row r="775" spans="1:16" x14ac:dyDescent="0.3">
      <c r="C775" s="353" t="s">
        <v>1059</v>
      </c>
      <c r="E775" s="324">
        <f ca="1">IF(E774&gt;0,ROUND('B. Implementation Plan'!H284*(1-'B. Implementation Plan'!H287)^E751,0),0)</f>
        <v>0</v>
      </c>
      <c r="F775" s="324">
        <f ca="1">IF(F774&gt;0,ROUND('B. Implementation Plan'!H284*(1-'B. Implementation Plan'!H287)^F751,0),0)</f>
        <v>0</v>
      </c>
      <c r="G775" s="324">
        <f ca="1">IF(G774&gt;0,ROUND('B. Implementation Plan'!H284*(1-'B. Implementation Plan'!H287)^G751,0),0)</f>
        <v>0</v>
      </c>
      <c r="H775" s="324">
        <f ca="1">IF(H774&gt;0,ROUND('B. Implementation Plan'!H284*(1-'B. Implementation Plan'!H287)^H751,0),0)</f>
        <v>0</v>
      </c>
      <c r="I775" s="324">
        <f ca="1">IF(I774&gt;0,ROUND('B. Implementation Plan'!H284*(1-'B. Implementation Plan'!H287)^I751,0),0)</f>
        <v>0</v>
      </c>
      <c r="J775" s="324">
        <f ca="1">IF(J774&gt;0,ROUND('B. Implementation Plan'!H284*(1-'B. Implementation Plan'!H287)^J751,0),0)</f>
        <v>0</v>
      </c>
      <c r="K775" s="324">
        <f ca="1">IF(K774&gt;0,ROUND('B. Implementation Plan'!H284*(1-'B. Implementation Plan'!H287)^K751,0),0)</f>
        <v>0</v>
      </c>
      <c r="L775" s="324">
        <f ca="1">IF(L774&gt;0,ROUND('B. Implementation Plan'!H284*(1-'B. Implementation Plan'!H287)^L751,0),0)</f>
        <v>0</v>
      </c>
      <c r="M775" s="324">
        <f ca="1">IF(M774&gt;0,ROUND('B. Implementation Plan'!H284*(1-'B. Implementation Plan'!H287)^M751,0),0)</f>
        <v>0</v>
      </c>
      <c r="N775" s="324">
        <f ca="1">IF(N774&gt;0,ROUND('B. Implementation Plan'!H284*(1-'B. Implementation Plan'!H287)^N751,0),0)</f>
        <v>0</v>
      </c>
      <c r="O775" s="324">
        <f ca="1">IF(O774&gt;0,ROUND('B. Implementation Plan'!H284*(1-'B. Implementation Plan'!H287)^O751,0),0)</f>
        <v>0</v>
      </c>
      <c r="P775" s="78">
        <f ca="1">IF(O775=0,IF(N775=0,IF(M775=0,IF(L775=0,IF(K775=0,IF(J775=0,IF(I775=0,IF(H775=0,IF(G775=0,IF(F775=0,E775,F775),G775),H775),I775),J775),K775),L775),M775),N775),O775)</f>
        <v>0</v>
      </c>
    </row>
    <row r="776" spans="1:16" s="1" customFormat="1" x14ac:dyDescent="0.3">
      <c r="C776" s="353" t="s">
        <v>1060</v>
      </c>
      <c r="E776" s="380"/>
      <c r="F776" s="324">
        <f>IFERROR(IF(F751&lt;=ROUNDUP(1/'B. Implementation Plan'!H289,0),ROUND(IF(AND(F751-1/'B. Implementation Plan'!H289&lt;1,F751-1/'B. Implementation Plan'!H289&gt;0),F775*MOD(1/'B. Implementation Plan'!H289,1)/(1/'B. Implementation Plan'!H289),MIN(F775-SUM(E776:E776),F775*'B. Implementation Plan'!H289)),0),0),0)</f>
        <v>0</v>
      </c>
      <c r="G776" s="324">
        <f>IFERROR(IF(G751&lt;=ROUNDUP(1/'B. Implementation Plan'!H289,0),ROUND(IF(AND(G751-1/'B. Implementation Plan'!H289&lt;1,G751-1/'B. Implementation Plan'!H289&gt;0),G775*MOD(1/'B. Implementation Plan'!H289,1)/(1/'B. Implementation Plan'!H289),MIN(G775-SUM(E776:F776),G775*'B. Implementation Plan'!H289)),0),0),0)</f>
        <v>0</v>
      </c>
      <c r="H776" s="324">
        <f>IFERROR(IF(H751&lt;=ROUNDUP(1/'B. Implementation Plan'!H289,0),ROUND(IF(AND(H751-1/'B. Implementation Plan'!H289&lt;1,H751-1/'B. Implementation Plan'!H289&gt;0),H775*MOD(1/'B. Implementation Plan'!H289,1)/(1/'B. Implementation Plan'!H289),MIN(H775-SUM(E776:G776),H775*'B. Implementation Plan'!H289)),0),0),0)</f>
        <v>0</v>
      </c>
      <c r="I776" s="324">
        <f>IFERROR(IF(I751&lt;=ROUNDUP(1/'B. Implementation Plan'!H289,0),ROUND(IF(AND(I751-1/'B. Implementation Plan'!H289&lt;1,I751-1/'B. Implementation Plan'!H289&gt;0),I775*MOD(1/'B. Implementation Plan'!H289,1)/(1/'B. Implementation Plan'!H289),MIN(I775-SUM(E776:H776),I775*'B. Implementation Plan'!H289)),0),0),0)</f>
        <v>0</v>
      </c>
      <c r="J776" s="324">
        <f>IFERROR(IF(J751&lt;=ROUNDUP(1/'B. Implementation Plan'!H289,0),ROUND(IF(AND(J751-1/'B. Implementation Plan'!H289&lt;1,J751-1/'B. Implementation Plan'!H289&gt;0),J775*MOD(1/'B. Implementation Plan'!H289,1)/(1/'B. Implementation Plan'!H289),MIN(J775-SUM(E776:I776),J775*'B. Implementation Plan'!H289)),0),0),0)</f>
        <v>0</v>
      </c>
      <c r="K776" s="324">
        <f>IFERROR(IF(K751&lt;=ROUNDUP(1/'B. Implementation Plan'!H289,0),ROUND(IF(AND(K751-1/'B. Implementation Plan'!H289&lt;1,K751-1/'B. Implementation Plan'!H289&gt;0),K775*MOD(1/'B. Implementation Plan'!H289,1)/(1/'B. Implementation Plan'!H289),MIN(K775-SUM(E776:J776),K775*'B. Implementation Plan'!H289)),0),0),0)</f>
        <v>0</v>
      </c>
      <c r="L776" s="324">
        <f>IFERROR(IF(L751&lt;=ROUNDUP(1/'B. Implementation Plan'!H289,0),ROUND(IF(AND(L751-1/'B. Implementation Plan'!H289&lt;1,L751-1/'B. Implementation Plan'!H289&gt;0),L775*MOD(1/'B. Implementation Plan'!H289,1)/(1/'B. Implementation Plan'!H289),MIN(L775-SUM(E776:K776),L775*'B. Implementation Plan'!H289)),0),0),0)</f>
        <v>0</v>
      </c>
      <c r="M776" s="324">
        <f>IFERROR(IF(M751&lt;=ROUNDUP(1/'B. Implementation Plan'!H289,0),ROUND(IF(AND(M751-1/'B. Implementation Plan'!H289&lt;1,M751-1/'B. Implementation Plan'!H289&gt;0),M775*MOD(1/'B. Implementation Plan'!H289,1)/(1/'B. Implementation Plan'!H289),MIN(M775-SUM(E776:L776),M775*'B. Implementation Plan'!H289)),0),0),0)</f>
        <v>0</v>
      </c>
      <c r="N776" s="324">
        <f>IFERROR(IF(N751&lt;=ROUNDUP(1/'B. Implementation Plan'!H289,0),ROUND(IF(AND(N751-1/'B. Implementation Plan'!H289&lt;1,N751-1/'B. Implementation Plan'!H289&gt;0),N775*MOD(1/'B. Implementation Plan'!H289,1)/(1/'B. Implementation Plan'!H289),MIN(N775-SUM(E776:M776),N775*'B. Implementation Plan'!H289)),0),0),0)</f>
        <v>0</v>
      </c>
      <c r="O776" s="324">
        <f>IFERROR(IF(O751&lt;=ROUNDUP(1/'B. Implementation Plan'!H289,0),ROUND(IF(AND(O751-1/'B. Implementation Plan'!H289&lt;1,O751-1/'B. Implementation Plan'!H289&gt;0),O775*MOD(1/'B. Implementation Plan'!H289,1)/(1/'B. Implementation Plan'!H289),MIN(O775-SUM(E776:N776),O775*'B. Implementation Plan'!H289)),0),0),0)</f>
        <v>0</v>
      </c>
      <c r="P776" s="325">
        <f>SUM(E776:O776)</f>
        <v>0</v>
      </c>
    </row>
    <row r="777" spans="1:16" x14ac:dyDescent="0.3">
      <c r="C777" s="14" t="s">
        <v>1061</v>
      </c>
      <c r="E777" s="15">
        <f t="shared" ref="E777:O777" ca="1" si="505">MAX(E774-E775,0)</f>
        <v>0</v>
      </c>
      <c r="F777" s="15">
        <f t="shared" ca="1" si="505"/>
        <v>0</v>
      </c>
      <c r="G777" s="15">
        <f t="shared" ca="1" si="505"/>
        <v>0</v>
      </c>
      <c r="H777" s="15">
        <f t="shared" ca="1" si="505"/>
        <v>0</v>
      </c>
      <c r="I777" s="15">
        <f t="shared" ca="1" si="505"/>
        <v>0</v>
      </c>
      <c r="J777" s="15">
        <f t="shared" ca="1" si="505"/>
        <v>0</v>
      </c>
      <c r="K777" s="15">
        <f t="shared" ca="1" si="505"/>
        <v>0</v>
      </c>
      <c r="L777" s="15">
        <f t="shared" ca="1" si="505"/>
        <v>0</v>
      </c>
      <c r="M777" s="15">
        <f t="shared" ca="1" si="505"/>
        <v>0</v>
      </c>
      <c r="N777" s="15">
        <f t="shared" ca="1" si="505"/>
        <v>0</v>
      </c>
      <c r="O777" s="366">
        <f t="shared" ca="1" si="505"/>
        <v>0</v>
      </c>
      <c r="P777" s="354">
        <f ca="1">IF(O777=0,IF(N777=0,IF(M777=0,IF(L777=0,IF(K777=0,IF(J777=0,IF(I777=0,IF(H777=0,IF(G777=0,IF(F777=0,E777,F777),G777),H777),I777),J777),K777),L777),M777),N777),O777)</f>
        <v>0</v>
      </c>
    </row>
    <row r="778" spans="1:16" x14ac:dyDescent="0.3">
      <c r="C778" s="353" t="s">
        <v>1062</v>
      </c>
      <c r="E778" s="324">
        <f ca="1">IF(E774&gt;0,E777-D777+ROUND(D777*'B. Implementation Plan'!H287,0),0)</f>
        <v>0</v>
      </c>
      <c r="F778" s="324">
        <f ca="1">IF(F774&gt;0,F777-E777+ROUND(E777*'B. Implementation Plan'!H287,0),0)</f>
        <v>0</v>
      </c>
      <c r="G778" s="324">
        <f ca="1">IF(G774&gt;0,G777-F777+ROUND(F777*'B. Implementation Plan'!H287,0),0)</f>
        <v>0</v>
      </c>
      <c r="H778" s="324">
        <f ca="1">IF(H774&gt;0,H777-G777+ROUND(G777*'B. Implementation Plan'!H287,0),0)</f>
        <v>0</v>
      </c>
      <c r="I778" s="324">
        <f ca="1">IF(I774&gt;0,I777-H777+ROUND(H777*'B. Implementation Plan'!H287,0),0)</f>
        <v>0</v>
      </c>
      <c r="J778" s="324">
        <f ca="1">IF(J774&gt;0,J777-I777+ROUND(I777*'B. Implementation Plan'!H287,0),0)</f>
        <v>0</v>
      </c>
      <c r="K778" s="324">
        <f ca="1">IF(K774&gt;0,K777-J777+ROUND(J777*'B. Implementation Plan'!H287,0),0)</f>
        <v>0</v>
      </c>
      <c r="L778" s="324">
        <f ca="1">IF(L774&gt;0,L777-K777+ROUND(K777*'B. Implementation Plan'!H287,0),0)</f>
        <v>0</v>
      </c>
      <c r="M778" s="324">
        <f ca="1">IF(M774&gt;0,M777-L777+ROUND(L777*'B. Implementation Plan'!H287,0),0)</f>
        <v>0</v>
      </c>
      <c r="N778" s="324">
        <f ca="1">IF(N774&gt;0,N777-M777+ROUND(M777*'B. Implementation Plan'!H287,0),0)</f>
        <v>0</v>
      </c>
      <c r="O778" s="324">
        <f ca="1">IF(O774&gt;0,O777-N777+ROUND(N777*'B. Implementation Plan'!H287,0),0)</f>
        <v>0</v>
      </c>
      <c r="P778" s="325">
        <f ca="1">SUM(E778:O778)</f>
        <v>0</v>
      </c>
    </row>
    <row r="779" spans="1:16" x14ac:dyDescent="0.3">
      <c r="C779" s="406" t="s">
        <v>1063</v>
      </c>
      <c r="E779" s="15">
        <f ca="1">E775</f>
        <v>0</v>
      </c>
      <c r="F779" s="15">
        <f t="shared" ref="F779:O779" ca="1" si="506">F775+F777</f>
        <v>0</v>
      </c>
      <c r="G779" s="15">
        <f t="shared" ca="1" si="506"/>
        <v>0</v>
      </c>
      <c r="H779" s="15">
        <f t="shared" ca="1" si="506"/>
        <v>0</v>
      </c>
      <c r="I779" s="15">
        <f t="shared" ca="1" si="506"/>
        <v>0</v>
      </c>
      <c r="J779" s="15">
        <f t="shared" ca="1" si="506"/>
        <v>0</v>
      </c>
      <c r="K779" s="15">
        <f t="shared" ca="1" si="506"/>
        <v>0</v>
      </c>
      <c r="L779" s="15">
        <f t="shared" ca="1" si="506"/>
        <v>0</v>
      </c>
      <c r="M779" s="15">
        <f t="shared" ca="1" si="506"/>
        <v>0</v>
      </c>
      <c r="N779" s="15">
        <f t="shared" ca="1" si="506"/>
        <v>0</v>
      </c>
      <c r="O779" s="15">
        <f t="shared" ca="1" si="506"/>
        <v>0</v>
      </c>
      <c r="P779" s="354">
        <f ca="1">IF(O779=0,IF(N779=0,IF(M779=0,IF(L779=0,IF(K779=0,IF(J779=0,IF(I779=0,IF(H779=0,IF(G779=0,IF(F779=0,E779,F779),G779),H779),I779),J779),K779),L779),M779),N779),O779)</f>
        <v>0</v>
      </c>
    </row>
    <row r="780" spans="1:16" ht="15" thickBot="1" x14ac:dyDescent="0.35">
      <c r="C780" s="406" t="s">
        <v>1064</v>
      </c>
      <c r="F780" s="324">
        <f ca="1">F776+F778+IF(F774&gt;0,E778,0)</f>
        <v>0</v>
      </c>
      <c r="G780" s="324">
        <f t="shared" ref="G780:O780" ca="1" si="507">G776+G778</f>
        <v>0</v>
      </c>
      <c r="H780" s="324">
        <f t="shared" ca="1" si="507"/>
        <v>0</v>
      </c>
      <c r="I780" s="324">
        <f t="shared" ca="1" si="507"/>
        <v>0</v>
      </c>
      <c r="J780" s="324">
        <f t="shared" ca="1" si="507"/>
        <v>0</v>
      </c>
      <c r="K780" s="324">
        <f t="shared" ca="1" si="507"/>
        <v>0</v>
      </c>
      <c r="L780" s="324">
        <f t="shared" ca="1" si="507"/>
        <v>0</v>
      </c>
      <c r="M780" s="324">
        <f t="shared" ca="1" si="507"/>
        <v>0</v>
      </c>
      <c r="N780" s="324">
        <f t="shared" ca="1" si="507"/>
        <v>0</v>
      </c>
      <c r="O780" s="324">
        <f t="shared" ca="1" si="507"/>
        <v>0</v>
      </c>
      <c r="P780" s="328">
        <f ca="1">SUM(E780:O780)</f>
        <v>0</v>
      </c>
    </row>
    <row r="781" spans="1:16" ht="16.2" thickBot="1" x14ac:dyDescent="0.35">
      <c r="C781" s="16" t="s">
        <v>1065</v>
      </c>
      <c r="E781" s="149">
        <v>0</v>
      </c>
      <c r="F781" s="149">
        <v>1</v>
      </c>
      <c r="G781" s="149">
        <v>2</v>
      </c>
      <c r="H781" s="149">
        <v>3</v>
      </c>
      <c r="I781" s="149">
        <v>4</v>
      </c>
      <c r="J781" s="149">
        <v>5</v>
      </c>
      <c r="K781" s="149">
        <v>6</v>
      </c>
      <c r="L781" s="149">
        <v>7</v>
      </c>
      <c r="M781" s="149">
        <v>8</v>
      </c>
      <c r="N781" s="149">
        <v>9</v>
      </c>
      <c r="O781" s="149">
        <v>10</v>
      </c>
      <c r="P781"/>
    </row>
    <row r="782" spans="1:16" x14ac:dyDescent="0.3">
      <c r="C782" s="740" t="s">
        <v>1066</v>
      </c>
      <c r="E782" s="15">
        <f ca="1">E758+E765+E772+E779</f>
        <v>0</v>
      </c>
      <c r="F782" s="15">
        <f t="shared" ref="F782:O782" ca="1" si="508">F758+F765+F772+F779</f>
        <v>0</v>
      </c>
      <c r="G782" s="15">
        <f t="shared" ca="1" si="508"/>
        <v>0</v>
      </c>
      <c r="H782" s="15">
        <f t="shared" ca="1" si="508"/>
        <v>0</v>
      </c>
      <c r="I782" s="15">
        <f t="shared" ca="1" si="508"/>
        <v>0</v>
      </c>
      <c r="J782" s="15">
        <f t="shared" ca="1" si="508"/>
        <v>0</v>
      </c>
      <c r="K782" s="15">
        <f t="shared" ca="1" si="508"/>
        <v>0</v>
      </c>
      <c r="L782" s="15">
        <f t="shared" ca="1" si="508"/>
        <v>0</v>
      </c>
      <c r="M782" s="15">
        <f t="shared" ca="1" si="508"/>
        <v>0</v>
      </c>
      <c r="N782" s="15">
        <f t="shared" ca="1" si="508"/>
        <v>0</v>
      </c>
      <c r="O782" s="15">
        <f t="shared" ca="1" si="508"/>
        <v>0</v>
      </c>
      <c r="P782" s="741">
        <f ca="1">IF(O782=0,IF(N782=0,IF(M782=0,IF(L782=0,IF(K782=0,IF(J782=0,IF(I782=0,IF(H782=0,IF(G782=0,IF(F782=0,E782,F782),G782),H782),I782),J782),K782),L782),M782),N782),O782)</f>
        <v>0</v>
      </c>
    </row>
    <row r="783" spans="1:16" ht="15" thickBot="1" x14ac:dyDescent="0.35">
      <c r="C783" s="740" t="s">
        <v>1067</v>
      </c>
      <c r="F783" s="15">
        <f ca="1">F759+F766+F773+F780</f>
        <v>0</v>
      </c>
      <c r="G783" s="15">
        <f t="shared" ref="G783:O783" ca="1" si="509">G759+G766+G773+G780</f>
        <v>0</v>
      </c>
      <c r="H783" s="15">
        <f t="shared" ca="1" si="509"/>
        <v>0</v>
      </c>
      <c r="I783" s="15">
        <f t="shared" ca="1" si="509"/>
        <v>0</v>
      </c>
      <c r="J783" s="15">
        <f t="shared" ca="1" si="509"/>
        <v>0</v>
      </c>
      <c r="K783" s="15">
        <f t="shared" ca="1" si="509"/>
        <v>0</v>
      </c>
      <c r="L783" s="15">
        <f t="shared" ca="1" si="509"/>
        <v>0</v>
      </c>
      <c r="M783" s="15">
        <f t="shared" ca="1" si="509"/>
        <v>0</v>
      </c>
      <c r="N783" s="15">
        <f t="shared" ca="1" si="509"/>
        <v>0</v>
      </c>
      <c r="O783" s="15">
        <f t="shared" ca="1" si="509"/>
        <v>0</v>
      </c>
      <c r="P783" s="375">
        <f ca="1">SUM(E783:O783)</f>
        <v>0</v>
      </c>
    </row>
    <row r="785" spans="1:16" ht="15" thickBot="1" x14ac:dyDescent="0.35"/>
    <row r="786" spans="1:16" s="67" customFormat="1" ht="15.6" x14ac:dyDescent="0.3">
      <c r="A786" s="62"/>
      <c r="B786" s="62" t="s">
        <v>618</v>
      </c>
      <c r="D786" s="65"/>
      <c r="E786" s="162"/>
      <c r="F786" s="66">
        <v>1</v>
      </c>
      <c r="G786" s="66">
        <v>2</v>
      </c>
      <c r="H786" s="66">
        <v>3</v>
      </c>
      <c r="I786" s="66">
        <v>4</v>
      </c>
      <c r="J786" s="66">
        <v>5</v>
      </c>
      <c r="K786" s="66">
        <v>6</v>
      </c>
      <c r="L786" s="66">
        <v>7</v>
      </c>
      <c r="M786" s="66">
        <v>8</v>
      </c>
      <c r="N786" s="66">
        <v>9</v>
      </c>
      <c r="O786" s="213">
        <v>10</v>
      </c>
      <c r="P786" s="214" t="s">
        <v>2</v>
      </c>
    </row>
    <row r="787" spans="1:16" x14ac:dyDescent="0.3">
      <c r="A787" s="1"/>
      <c r="B787" s="1"/>
      <c r="C787" s="326" t="s">
        <v>619</v>
      </c>
      <c r="D787" s="368"/>
      <c r="E787" s="162"/>
      <c r="F787" s="15">
        <f t="shared" ref="F787:O787" ca="1" si="510">MAX(F134-E134,0)</f>
        <v>0</v>
      </c>
      <c r="G787" s="15">
        <f t="shared" ca="1" si="510"/>
        <v>0</v>
      </c>
      <c r="H787" s="15">
        <f t="shared" ca="1" si="510"/>
        <v>0</v>
      </c>
      <c r="I787" s="15">
        <f t="shared" ca="1" si="510"/>
        <v>0</v>
      </c>
      <c r="J787" s="15">
        <f t="shared" ca="1" si="510"/>
        <v>0</v>
      </c>
      <c r="K787" s="15">
        <f t="shared" ca="1" si="510"/>
        <v>0</v>
      </c>
      <c r="L787" s="15">
        <f t="shared" ca="1" si="510"/>
        <v>0</v>
      </c>
      <c r="M787" s="15">
        <f t="shared" ca="1" si="510"/>
        <v>0</v>
      </c>
      <c r="N787" s="15">
        <f t="shared" ca="1" si="510"/>
        <v>0</v>
      </c>
      <c r="O787" s="15">
        <f t="shared" ca="1" si="510"/>
        <v>0</v>
      </c>
      <c r="P787" s="78">
        <f ca="1">IF(O787=0,IF(N787=0,IF(M787=0,IF(L787=0,IF(K787=0,IF(J787=0,IF(I787=0,IF(H787=0,IF(G787=0,IF(F787=0,E787,F787),G787),H787),I787),J787),K787),L787),M787),N787),O787)</f>
        <v>0</v>
      </c>
    </row>
    <row r="788" spans="1:16" x14ac:dyDescent="0.3">
      <c r="A788" s="1"/>
      <c r="B788" s="1"/>
      <c r="C788" s="326" t="s">
        <v>620</v>
      </c>
      <c r="D788" s="368"/>
      <c r="E788" s="162"/>
      <c r="F788" s="15">
        <f t="shared" ref="F788:O788" ca="1" si="511">MAX(F135-E135,0)</f>
        <v>8</v>
      </c>
      <c r="G788" s="15">
        <f t="shared" ca="1" si="511"/>
        <v>8</v>
      </c>
      <c r="H788" s="15">
        <f t="shared" ca="1" si="511"/>
        <v>7</v>
      </c>
      <c r="I788" s="15">
        <f t="shared" ca="1" si="511"/>
        <v>8</v>
      </c>
      <c r="J788" s="15">
        <f t="shared" ca="1" si="511"/>
        <v>8</v>
      </c>
      <c r="K788" s="15">
        <f t="shared" ca="1" si="511"/>
        <v>8</v>
      </c>
      <c r="L788" s="15">
        <f t="shared" ca="1" si="511"/>
        <v>8</v>
      </c>
      <c r="M788" s="15">
        <f t="shared" ca="1" si="511"/>
        <v>8</v>
      </c>
      <c r="N788" s="15">
        <f t="shared" ca="1" si="511"/>
        <v>7</v>
      </c>
      <c r="O788" s="15">
        <f t="shared" ca="1" si="511"/>
        <v>8</v>
      </c>
      <c r="P788" s="78">
        <f t="shared" ref="P788:P790" ca="1" si="512">IF(O788=0,IF(N788=0,IF(M788=0,IF(L788=0,IF(K788=0,IF(J788=0,IF(I788=0,IF(H788=0,IF(G788=0,IF(F788=0,E788,F788),G788),H788),I788),J788),K788),L788),M788),N788),O788)</f>
        <v>8</v>
      </c>
    </row>
    <row r="789" spans="1:16" x14ac:dyDescent="0.3">
      <c r="A789" s="1"/>
      <c r="B789" s="1"/>
      <c r="C789" s="326" t="s">
        <v>621</v>
      </c>
      <c r="D789" s="368"/>
      <c r="E789" s="162"/>
      <c r="F789" s="15">
        <f t="shared" ref="F789:O789" ca="1" si="513">MAX(F136-E136,0)</f>
        <v>0</v>
      </c>
      <c r="G789" s="15">
        <f t="shared" ca="1" si="513"/>
        <v>0</v>
      </c>
      <c r="H789" s="15">
        <f t="shared" ca="1" si="513"/>
        <v>0</v>
      </c>
      <c r="I789" s="15">
        <f t="shared" ca="1" si="513"/>
        <v>0</v>
      </c>
      <c r="J789" s="15">
        <f t="shared" ca="1" si="513"/>
        <v>0</v>
      </c>
      <c r="K789" s="15">
        <f t="shared" ca="1" si="513"/>
        <v>0</v>
      </c>
      <c r="L789" s="15">
        <f t="shared" ca="1" si="513"/>
        <v>0</v>
      </c>
      <c r="M789" s="15">
        <f t="shared" ca="1" si="513"/>
        <v>0</v>
      </c>
      <c r="N789" s="15">
        <f t="shared" ca="1" si="513"/>
        <v>0</v>
      </c>
      <c r="O789" s="15">
        <f t="shared" ca="1" si="513"/>
        <v>0</v>
      </c>
      <c r="P789" s="78">
        <f t="shared" ca="1" si="512"/>
        <v>0</v>
      </c>
    </row>
    <row r="790" spans="1:16" ht="15" thickBot="1" x14ac:dyDescent="0.35">
      <c r="A790" s="1"/>
      <c r="B790" s="1"/>
      <c r="C790" s="59" t="s">
        <v>622</v>
      </c>
      <c r="D790" s="368"/>
      <c r="E790" s="162"/>
      <c r="F790" s="15">
        <f t="shared" ref="F790:O790" ca="1" si="514">MAX(F137-E137,0)</f>
        <v>8</v>
      </c>
      <c r="G790" s="15">
        <f t="shared" ca="1" si="514"/>
        <v>8</v>
      </c>
      <c r="H790" s="15">
        <f t="shared" ca="1" si="514"/>
        <v>7</v>
      </c>
      <c r="I790" s="15">
        <f t="shared" ca="1" si="514"/>
        <v>8</v>
      </c>
      <c r="J790" s="15">
        <f t="shared" ca="1" si="514"/>
        <v>8</v>
      </c>
      <c r="K790" s="15">
        <f t="shared" ca="1" si="514"/>
        <v>8</v>
      </c>
      <c r="L790" s="15">
        <f t="shared" ca="1" si="514"/>
        <v>8</v>
      </c>
      <c r="M790" s="15">
        <f t="shared" ca="1" si="514"/>
        <v>8</v>
      </c>
      <c r="N790" s="15">
        <f t="shared" ca="1" si="514"/>
        <v>7</v>
      </c>
      <c r="O790" s="15">
        <f t="shared" ca="1" si="514"/>
        <v>8</v>
      </c>
      <c r="P790" s="328">
        <f t="shared" ca="1" si="512"/>
        <v>8</v>
      </c>
    </row>
    <row r="793" spans="1:16" ht="15.6" x14ac:dyDescent="0.3">
      <c r="B793" s="62"/>
    </row>
  </sheetData>
  <mergeCells count="3">
    <mergeCell ref="E3:O3"/>
    <mergeCell ref="E5:O5"/>
    <mergeCell ref="E4:O4"/>
  </mergeCells>
  <pageMargins left="0.7" right="0.7" top="0.75" bottom="0.75" header="0.3" footer="0.3"/>
  <pageSetup scale="41" orientation="portrait"/>
  <rowBreaks count="1" manualBreakCount="1">
    <brk id="94" max="15" man="1"/>
  </rowBreaks>
  <ignoredErrors>
    <ignoredError sqref="E65:O65 E61:O61 E118:O118 E122:O122 P233 P163 P400 P755:P757" formula="1"/>
    <ignoredError sqref="G208:M208 G209:N209 G207:L207 G202 G203:H203 G204:I204 G205:J205 G206:K206 G175:L175 G170 G171:H171 G172:I172 G173:J173 G174:K174 G177:N177 G176:M176 G178:O178 G194:O194 G210:O210 G181:O181 G197:O199 G213:O215 E741:O741 G183:O183 J182:O182"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4"/>
  <sheetViews>
    <sheetView workbookViewId="0">
      <pane xSplit="3" ySplit="5" topLeftCell="D32" activePane="bottomRight" state="frozen"/>
      <selection pane="topRight" activeCell="D1" sqref="D1"/>
      <selection pane="bottomLeft" activeCell="A6" sqref="A6"/>
      <selection pane="bottomRight" activeCell="E34" sqref="E34"/>
    </sheetView>
  </sheetViews>
  <sheetFormatPr defaultColWidth="8.77734375" defaultRowHeight="14.4" outlineLevelRow="1"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5" t="str">
        <f>'B. Implementation Plan'!E3:O3</f>
        <v>Kentucky Preschool Program - Intermediate</v>
      </c>
      <c r="F3" s="776"/>
      <c r="G3" s="776"/>
      <c r="H3" s="776"/>
      <c r="I3" s="776"/>
      <c r="J3" s="776"/>
      <c r="K3" s="776"/>
      <c r="L3" s="776"/>
      <c r="M3" s="776"/>
      <c r="N3" s="776"/>
      <c r="O3" s="776"/>
      <c r="P3" s="538" t="str">
        <f>'B. Implementation Plan'!P3</f>
        <v>Kentucky Preschool Program - Intermediate</v>
      </c>
    </row>
    <row r="4" spans="1:16" s="31" customFormat="1" ht="18" x14ac:dyDescent="0.35">
      <c r="C4" s="32" t="s">
        <v>432</v>
      </c>
      <c r="D4"/>
      <c r="E4" s="775" t="str">
        <f>'B. Implementation Plan'!E4:O4</f>
        <v>na</v>
      </c>
      <c r="F4" s="776"/>
      <c r="G4" s="776"/>
      <c r="H4" s="776"/>
      <c r="I4" s="776"/>
      <c r="J4" s="776"/>
      <c r="K4" s="776"/>
      <c r="L4" s="776"/>
      <c r="M4" s="776"/>
      <c r="N4" s="776"/>
      <c r="O4" s="776"/>
      <c r="P4" s="539" t="str">
        <f>'B. Implementation Plan'!P4</f>
        <v>na</v>
      </c>
    </row>
    <row r="5" spans="1:16" s="31" customFormat="1" ht="18.600000000000001" thickBot="1" x14ac:dyDescent="0.4">
      <c r="C5" s="32" t="s">
        <v>17</v>
      </c>
      <c r="D5"/>
      <c r="E5" s="775" t="str">
        <f>'B. Implementation Plan'!E5:O5</f>
        <v>Kentucky, KY</v>
      </c>
      <c r="F5" s="776"/>
      <c r="G5" s="776"/>
      <c r="H5" s="776"/>
      <c r="I5" s="776"/>
      <c r="J5" s="776"/>
      <c r="K5" s="776"/>
      <c r="L5" s="776"/>
      <c r="M5" s="776"/>
      <c r="N5" s="776"/>
      <c r="O5" s="776"/>
      <c r="P5" s="540" t="str">
        <f>'B. Implementation Plan'!P5</f>
        <v>Kentucky, KY</v>
      </c>
    </row>
    <row r="6" spans="1:16" ht="14.55" customHeight="1" x14ac:dyDescent="0.3"/>
    <row r="7" spans="1:16" ht="18" x14ac:dyDescent="0.35">
      <c r="A7" s="239" t="s">
        <v>635</v>
      </c>
      <c r="B7" s="240"/>
      <c r="C7" s="241"/>
    </row>
    <row r="8" spans="1:16" ht="14.55" customHeight="1" thickBot="1" x14ac:dyDescent="0.35"/>
    <row r="9" spans="1:16" s="365" customFormat="1" ht="14.55" customHeight="1" thickBot="1" x14ac:dyDescent="0.35">
      <c r="C9" s="409" t="s">
        <v>243</v>
      </c>
      <c r="E9" s="397">
        <f>'B. Implementation Plan'!E248</f>
        <v>1.6E-2</v>
      </c>
      <c r="P9" s="393">
        <f>'B. Implementation Plan'!P248</f>
        <v>1.6E-2</v>
      </c>
    </row>
    <row r="10" spans="1:16" ht="15" thickBot="1" x14ac:dyDescent="0.35"/>
    <row r="11" spans="1:16" s="365" customFormat="1" ht="14.55" customHeight="1" x14ac:dyDescent="0.3">
      <c r="A11" s="1"/>
      <c r="B11" s="62"/>
      <c r="D11" s="394"/>
      <c r="E11" s="294">
        <v>0</v>
      </c>
      <c r="F11" s="294">
        <v>1</v>
      </c>
      <c r="G11" s="294">
        <v>2</v>
      </c>
      <c r="H11" s="294">
        <v>3</v>
      </c>
      <c r="I11" s="294">
        <v>4</v>
      </c>
      <c r="J11" s="294">
        <v>5</v>
      </c>
      <c r="K11" s="294">
        <v>6</v>
      </c>
      <c r="L11" s="294">
        <v>7</v>
      </c>
      <c r="M11" s="294">
        <v>8</v>
      </c>
      <c r="N11" s="294">
        <v>9</v>
      </c>
      <c r="O11" s="295">
        <v>10</v>
      </c>
      <c r="P11" s="395" t="s">
        <v>2</v>
      </c>
    </row>
    <row r="12" spans="1:16" outlineLevel="1" x14ac:dyDescent="0.3">
      <c r="C12" s="396" t="s">
        <v>567</v>
      </c>
      <c r="E12" s="168">
        <f ca="1">IFERROR('B. Implementation Plan'!E257*'D. Annual Schedule Tables'!E20,0)</f>
        <v>957500</v>
      </c>
      <c r="F12" s="168">
        <f ca="1">IFERROR('B. Implementation Plan'!F257*'D. Annual Schedule Tables'!F20,0)</f>
        <v>998220</v>
      </c>
      <c r="G12" s="168">
        <f ca="1">IFERROR('B. Implementation Plan'!G257*'D. Annual Schedule Tables'!G20,0)</f>
        <v>1039997.92</v>
      </c>
      <c r="H12" s="168">
        <f ca="1">IFERROR('B. Implementation Plan'!H257*'D. Annual Schedule Tables'!H20,0)</f>
        <v>1082857.18912</v>
      </c>
      <c r="I12" s="168">
        <f ca="1">IFERROR('B. Implementation Plan'!I257*'D. Annual Schedule Tables'!I20,0)</f>
        <v>1126821.7153843201</v>
      </c>
      <c r="J12" s="168">
        <f ca="1">IFERROR('B. Implementation Plan'!J257*'D. Annual Schedule Tables'!J20,0)</f>
        <v>1171915.8950486835</v>
      </c>
      <c r="K12" s="168">
        <f ca="1">IFERROR('B. Implementation Plan'!K257*'D. Annual Schedule Tables'!K20,0)</f>
        <v>1218164.6221031682</v>
      </c>
      <c r="L12" s="168">
        <f ca="1">IFERROR('B. Implementation Plan'!L257*'D. Annual Schedule Tables'!L20,0)</f>
        <v>1265593.2979542641</v>
      </c>
      <c r="M12" s="168">
        <f ca="1">IFERROR('B. Implementation Plan'!M257*'D. Annual Schedule Tables'!M20,0)</f>
        <v>1314227.8412893368</v>
      </c>
      <c r="N12" s="168">
        <f ca="1">IFERROR('B. Implementation Plan'!N257*'D. Annual Schedule Tables'!N20,0)</f>
        <v>1364094.6981268553</v>
      </c>
      <c r="O12" s="168">
        <f ca="1">IFERROR('B. Implementation Plan'!O257*'D. Annual Schedule Tables'!O20,0)</f>
        <v>1415220.8520558043</v>
      </c>
      <c r="P12" s="415">
        <f ca="1">SUM(E12:O12)</f>
        <v>12954614.031082435</v>
      </c>
    </row>
    <row r="13" spans="1:16" outlineLevel="1" x14ac:dyDescent="0.3">
      <c r="C13" s="396" t="s">
        <v>582</v>
      </c>
      <c r="E13" s="168">
        <f>'B. Implementation Plan'!E79</f>
        <v>0</v>
      </c>
      <c r="F13" s="168">
        <f>'B. Implementation Plan'!F79</f>
        <v>0</v>
      </c>
      <c r="G13" s="168">
        <f>'B. Implementation Plan'!G79</f>
        <v>0</v>
      </c>
      <c r="H13" s="168">
        <f>'B. Implementation Plan'!H79</f>
        <v>0</v>
      </c>
      <c r="I13" s="168">
        <f>'B. Implementation Plan'!I79</f>
        <v>0</v>
      </c>
      <c r="J13" s="168">
        <f>'B. Implementation Plan'!J79</f>
        <v>0</v>
      </c>
      <c r="K13" s="168">
        <f>'B. Implementation Plan'!K79</f>
        <v>0</v>
      </c>
      <c r="L13" s="168">
        <f>'B. Implementation Plan'!L79</f>
        <v>0</v>
      </c>
      <c r="M13" s="168">
        <f>'B. Implementation Plan'!M79</f>
        <v>0</v>
      </c>
      <c r="N13" s="168">
        <f>'B. Implementation Plan'!N79</f>
        <v>0</v>
      </c>
      <c r="O13" s="413">
        <f>'B. Implementation Plan'!O79</f>
        <v>0</v>
      </c>
      <c r="P13" s="415">
        <f>SUM(E13:O13)</f>
        <v>0</v>
      </c>
    </row>
    <row r="14" spans="1:16" outlineLevel="1" x14ac:dyDescent="0.3">
      <c r="C14" s="396" t="s">
        <v>577</v>
      </c>
      <c r="E14" s="168">
        <f>'B. Implementation Plan'!E158*'D. Annual Schedule Tables'!E679*(1+E9)^E11</f>
        <v>0</v>
      </c>
      <c r="F14" s="168">
        <f ca="1">'B. Implementation Plan'!E158*'D. Annual Schedule Tables'!F679*(1+E9)^F11</f>
        <v>0</v>
      </c>
      <c r="G14" s="168">
        <f ca="1">'B. Implementation Plan'!E158*'D. Annual Schedule Tables'!G679*(1+E9)^G11</f>
        <v>0</v>
      </c>
      <c r="H14" s="168">
        <f ca="1">'B. Implementation Plan'!E158*'D. Annual Schedule Tables'!H679*(1+E9)^H11</f>
        <v>0</v>
      </c>
      <c r="I14" s="168">
        <f ca="1">'B. Implementation Plan'!E158*'D. Annual Schedule Tables'!I679*(1+E9)^I11</f>
        <v>0</v>
      </c>
      <c r="J14" s="168">
        <f ca="1">'B. Implementation Plan'!E158*'D. Annual Schedule Tables'!J679*(1+E9)^J11</f>
        <v>0</v>
      </c>
      <c r="K14" s="168">
        <f ca="1">'B. Implementation Plan'!E158*'D. Annual Schedule Tables'!K679*(1+E9)^K11</f>
        <v>0</v>
      </c>
      <c r="L14" s="168">
        <f ca="1">'B. Implementation Plan'!E158*'D. Annual Schedule Tables'!L679*(1+E9)^L11</f>
        <v>0</v>
      </c>
      <c r="M14" s="168">
        <f ca="1">'B. Implementation Plan'!E158*'D. Annual Schedule Tables'!M679*(1+E9)^M11</f>
        <v>0</v>
      </c>
      <c r="N14" s="168">
        <f ca="1">'B. Implementation Plan'!E158*'D. Annual Schedule Tables'!N679*(1+E9)^N11</f>
        <v>0</v>
      </c>
      <c r="O14" s="413">
        <f ca="1">'B. Implementation Plan'!E158*'D. Annual Schedule Tables'!O679*(1+E9)^O11</f>
        <v>0</v>
      </c>
      <c r="P14" s="415">
        <f t="shared" ref="P14:P19" ca="1" si="0">SUM(E14:O14)</f>
        <v>0</v>
      </c>
    </row>
    <row r="15" spans="1:16" outlineLevel="1" x14ac:dyDescent="0.3">
      <c r="C15" s="396" t="s">
        <v>578</v>
      </c>
      <c r="E15" s="168">
        <f>'B. Implementation Plan'!E180*'D. Annual Schedule Tables'!E681*(1+E9)^E11</f>
        <v>0</v>
      </c>
      <c r="F15" s="168">
        <f ca="1">'B. Implementation Plan'!E180*'D. Annual Schedule Tables'!F681*(1+E9)^F11</f>
        <v>0</v>
      </c>
      <c r="G15" s="168">
        <f ca="1">'B. Implementation Plan'!E180*'D. Annual Schedule Tables'!G681*(1+E9)^G11</f>
        <v>0</v>
      </c>
      <c r="H15" s="168">
        <f ca="1">'B. Implementation Plan'!E180*'D. Annual Schedule Tables'!H681*(1+E9)^H11</f>
        <v>0</v>
      </c>
      <c r="I15" s="168">
        <f ca="1">'B. Implementation Plan'!E180*'D. Annual Schedule Tables'!I681*(1+E9)^I11</f>
        <v>0</v>
      </c>
      <c r="J15" s="168">
        <f ca="1">'B. Implementation Plan'!E180*'D. Annual Schedule Tables'!J681*(1+E9)^J11</f>
        <v>0</v>
      </c>
      <c r="K15" s="168">
        <f ca="1">'B. Implementation Plan'!E180*'D. Annual Schedule Tables'!K681*(1+E9)^K11</f>
        <v>0</v>
      </c>
      <c r="L15" s="168">
        <f ca="1">'B. Implementation Plan'!E180*'D. Annual Schedule Tables'!L681*(1+E9)^L11</f>
        <v>0</v>
      </c>
      <c r="M15" s="168">
        <f ca="1">'B. Implementation Plan'!E180*'D. Annual Schedule Tables'!M681*(1+E9)^M11</f>
        <v>0</v>
      </c>
      <c r="N15" s="168">
        <f ca="1">'B. Implementation Plan'!E180*'D. Annual Schedule Tables'!N681*(1+E9)^N11</f>
        <v>0</v>
      </c>
      <c r="O15" s="413">
        <f ca="1">'B. Implementation Plan'!E180*'D. Annual Schedule Tables'!O681*(1+E9)^O11</f>
        <v>0</v>
      </c>
      <c r="P15" s="415">
        <f t="shared" ca="1" si="0"/>
        <v>0</v>
      </c>
    </row>
    <row r="16" spans="1:16" outlineLevel="1" x14ac:dyDescent="0.3">
      <c r="C16" s="396" t="s">
        <v>579</v>
      </c>
      <c r="E16" s="168">
        <f>'B. Implementation Plan'!E203*'D. Annual Schedule Tables'!E683*(1+E9)^E11</f>
        <v>0</v>
      </c>
      <c r="F16" s="168">
        <f ca="1">'B. Implementation Plan'!E203*'D. Annual Schedule Tables'!F683*(1+E9)^F11</f>
        <v>8839.2000000000007</v>
      </c>
      <c r="G16" s="168">
        <f ca="1">'B. Implementation Plan'!E203*'D. Annual Schedule Tables'!G683*(1+E9)^G11</f>
        <v>5161.2800000000007</v>
      </c>
      <c r="H16" s="168">
        <f ca="1">'B. Implementation Plan'!E203*'D. Annual Schedule Tables'!H683*(1+E9)^H11</f>
        <v>1782.9125632</v>
      </c>
      <c r="I16" s="168">
        <f ca="1">'B. Implementation Plan'!E203*'D. Annual Schedule Tables'!I683*(1+E9)^I11</f>
        <v>1811.4391642112</v>
      </c>
      <c r="J16" s="168">
        <f ca="1">'B. Implementation Plan'!E203*'D. Annual Schedule Tables'!J683*(1+E9)^J11</f>
        <v>1840.4221908385794</v>
      </c>
      <c r="K16" s="168">
        <f ca="1">'B. Implementation Plan'!E203*'D. Annual Schedule Tables'!K683*(1+E9)^K11</f>
        <v>1979.8612368268198</v>
      </c>
      <c r="L16" s="168">
        <f ca="1">'B. Implementation Plan'!E203*'D. Annual Schedule Tables'!L683*(1+E9)^L11</f>
        <v>2123.2911842058297</v>
      </c>
      <c r="M16" s="168">
        <f ca="1">'B. Implementation Plan'!E203*'D. Annual Schedule Tables'!M683*(1+E9)^M11</f>
        <v>2157.2638431531227</v>
      </c>
      <c r="N16" s="168">
        <f ca="1">'B. Implementation Plan'!E203*'D. Annual Schedule Tables'!N683*(1+E9)^N11</f>
        <v>2191.780064643573</v>
      </c>
      <c r="O16" s="413">
        <f ca="1">'B. Implementation Plan'!E203*'D. Annual Schedule Tables'!O683*(1+E9)^O11</f>
        <v>2226.8485456778703</v>
      </c>
      <c r="P16" s="415">
        <f t="shared" ca="1" si="0"/>
        <v>30114.298792756996</v>
      </c>
    </row>
    <row r="17" spans="3:16" outlineLevel="1" x14ac:dyDescent="0.3">
      <c r="C17" s="396" t="s">
        <v>583</v>
      </c>
      <c r="E17" s="168">
        <f ca="1">'B. Implementation Plan'!E120*'D. Annual Schedule Tables'!E156*(1+E9)^E11</f>
        <v>9300</v>
      </c>
      <c r="F17" s="168">
        <f ca="1">'B. Implementation Plan'!E120*'D. Annual Schedule Tables'!F156*(1+E9)^F11</f>
        <v>9753.6</v>
      </c>
      <c r="G17" s="168">
        <f ca="1">'B. Implementation Plan'!E120*'D. Annual Schedule Tables'!G156*(1+E9)^G11</f>
        <v>10219.3344</v>
      </c>
      <c r="H17" s="168">
        <f ca="1">'B. Implementation Plan'!E120*'D. Annual Schedule Tables'!H156*(1+E9)^H11</f>
        <v>10540.1595648</v>
      </c>
      <c r="I17" s="168">
        <f ca="1">'B. Implementation Plan'!E120*'D. Annual Schedule Tables'!I156*(1+E9)^I11</f>
        <v>11028.4678526976</v>
      </c>
      <c r="J17" s="168">
        <f ca="1">'B. Implementation Plan'!E120*'D. Annual Schedule Tables'!J156*(1+E9)^J11</f>
        <v>11367.313531650048</v>
      </c>
      <c r="K17" s="168">
        <f ca="1">'B. Implementation Plan'!E120*'D. Annual Schedule Tables'!K156*(1+E9)^K11</f>
        <v>11879.167420960919</v>
      </c>
      <c r="L17" s="168">
        <f ca="1">'B. Implementation Plan'!E120*'D. Annual Schedule Tables'!L156*(1+E9)^L11</f>
        <v>12236.862351080965</v>
      </c>
      <c r="M17" s="168">
        <f ca="1">'B. Implementation Plan'!E120*'D. Annual Schedule Tables'!M156*(1+E9)^M11</f>
        <v>12773.272755511913</v>
      </c>
      <c r="N17" s="168">
        <f ca="1">'B. Implementation Plan'!E120*'D. Annual Schedule Tables'!N156*(1+E9)^N11</f>
        <v>13150.680387861437</v>
      </c>
      <c r="O17" s="413">
        <f ca="1">'B. Implementation Plan'!E120*'D. Annual Schedule Tables'!O156*(1+E9)^O11</f>
        <v>13712.698939174254</v>
      </c>
      <c r="P17" s="415">
        <f t="shared" ca="1" si="0"/>
        <v>125961.55720373713</v>
      </c>
    </row>
    <row r="18" spans="3:16" outlineLevel="1" x14ac:dyDescent="0.3">
      <c r="C18" s="396" t="s">
        <v>580</v>
      </c>
      <c r="E18" s="168">
        <f ca="1">'B. Implementation Plan'!E269*'D. Annual Schedule Tables'!E748*(1+E9)^E11</f>
        <v>27900</v>
      </c>
      <c r="F18" s="168">
        <f ca="1">'B. Implementation Plan'!E269*'D. Annual Schedule Tables'!F748*(1+E9)^F11</f>
        <v>101.6</v>
      </c>
      <c r="G18" s="168">
        <f ca="1">'B. Implementation Plan'!E269*'D. Annual Schedule Tables'!G748*(1+E9)^G11</f>
        <v>412.9024</v>
      </c>
      <c r="H18" s="168">
        <f ca="1">'B. Implementation Plan'!E269*'D. Annual Schedule Tables'!H748*(1+E9)^H11</f>
        <v>419.5088384</v>
      </c>
      <c r="I18" s="168">
        <f ca="1">'B. Implementation Plan'!E269*'D. Annual Schedule Tables'!I748*(1+E9)^I11</f>
        <v>426.22097981440004</v>
      </c>
      <c r="J18" s="168">
        <f ca="1">'B. Implementation Plan'!E269*'D. Annual Schedule Tables'!J748*(1+E9)^J11</f>
        <v>433.04051549143043</v>
      </c>
      <c r="K18" s="168">
        <f ca="1">'B. Implementation Plan'!E269*'D. Annual Schedule Tables'!K748*(1+E9)^K11</f>
        <v>329.97687280446996</v>
      </c>
      <c r="L18" s="168">
        <f ca="1">'B. Implementation Plan'!E269*'D. Annual Schedule Tables'!L748*(1+E9)^L11</f>
        <v>447.00867035912199</v>
      </c>
      <c r="M18" s="168">
        <f ca="1">'B. Implementation Plan'!E269*'D. Annual Schedule Tables'!M748*(1+E9)^M11</f>
        <v>454.16080908486799</v>
      </c>
      <c r="N18" s="168">
        <f ca="1">'B. Implementation Plan'!E269*'D. Annual Schedule Tables'!N748*(1+E9)^N11</f>
        <v>461.42738203022589</v>
      </c>
      <c r="O18" s="413">
        <f ca="1">'B. Implementation Plan'!E269*'D. Annual Schedule Tables'!O748*(1+E9)^O11</f>
        <v>468.81022014270951</v>
      </c>
      <c r="P18" s="415">
        <f t="shared" ca="1" si="0"/>
        <v>31854.656688127223</v>
      </c>
    </row>
    <row r="19" spans="3:16" outlineLevel="1" x14ac:dyDescent="0.3">
      <c r="C19" s="420" t="s">
        <v>607</v>
      </c>
      <c r="E19" s="168">
        <f ca="1">('D. Annual Schedule Tables'!E758*'B. Implementation Plan'!E290+'D. Annual Schedule Tables'!E765*'B. Implementation Plan'!F290+'D. Annual Schedule Tables'!E772*'B. Implementation Plan'!G290+'D. Annual Schedule Tables'!E779*'B. Implementation Plan'!H290)*(1+E9)^E11</f>
        <v>0</v>
      </c>
      <c r="F19" s="168">
        <f ca="1">('D. Annual Schedule Tables'!F758*'B. Implementation Plan'!E290+'D. Annual Schedule Tables'!F765*'B. Implementation Plan'!F290+'D. Annual Schedule Tables'!F772*'B. Implementation Plan'!G290+'D. Annual Schedule Tables'!F779*'B. Implementation Plan'!H290)*(1+E9)^F11</f>
        <v>0</v>
      </c>
      <c r="G19" s="168">
        <f ca="1">('D. Annual Schedule Tables'!G758*'B. Implementation Plan'!E290+'D. Annual Schedule Tables'!G765*'B. Implementation Plan'!F290+'D. Annual Schedule Tables'!G772*'B. Implementation Plan'!G290+'D. Annual Schedule Tables'!G779*'B. Implementation Plan'!H290)*(1+E9)^G11</f>
        <v>0</v>
      </c>
      <c r="H19" s="168">
        <f ca="1">('D. Annual Schedule Tables'!H758*'B. Implementation Plan'!E290+'D. Annual Schedule Tables'!H765*'B. Implementation Plan'!F290+'D. Annual Schedule Tables'!H772*'B. Implementation Plan'!G290+'D. Annual Schedule Tables'!H779*'B. Implementation Plan'!H290)*(1+E9)^H11</f>
        <v>0</v>
      </c>
      <c r="I19" s="168">
        <f ca="1">('D. Annual Schedule Tables'!I758*'B. Implementation Plan'!E290+'D. Annual Schedule Tables'!I765*'B. Implementation Plan'!F290+'D. Annual Schedule Tables'!I772*'B. Implementation Plan'!G290+'D. Annual Schedule Tables'!I779*'B. Implementation Plan'!H290)*(1+E9)^I11</f>
        <v>0</v>
      </c>
      <c r="J19" s="168">
        <f ca="1">('D. Annual Schedule Tables'!J758*'B. Implementation Plan'!E290+'D. Annual Schedule Tables'!J765*'B. Implementation Plan'!F290+'D. Annual Schedule Tables'!J772*'B. Implementation Plan'!G290+'D. Annual Schedule Tables'!J779*'B. Implementation Plan'!H290)*(1+E9)^J11</f>
        <v>0</v>
      </c>
      <c r="K19" s="168">
        <f ca="1">('D. Annual Schedule Tables'!K758*'B. Implementation Plan'!E290+'D. Annual Schedule Tables'!K765*'B. Implementation Plan'!F290+'D. Annual Schedule Tables'!K772*'B. Implementation Plan'!G290+'D. Annual Schedule Tables'!K779*'B. Implementation Plan'!H290)*(1+E9)^K11</f>
        <v>0</v>
      </c>
      <c r="L19" s="168">
        <f ca="1">('D. Annual Schedule Tables'!L758*'B. Implementation Plan'!E290+'D. Annual Schedule Tables'!L765*'B. Implementation Plan'!F290+'D. Annual Schedule Tables'!L772*'B. Implementation Plan'!G290+'D. Annual Schedule Tables'!L779*'B. Implementation Plan'!H290)*(1+E9)^L11</f>
        <v>0</v>
      </c>
      <c r="M19" s="168">
        <f ca="1">('D. Annual Schedule Tables'!M758*'B. Implementation Plan'!E290+'D. Annual Schedule Tables'!M765*'B. Implementation Plan'!F290+'D. Annual Schedule Tables'!M772*'B. Implementation Plan'!G290+'D. Annual Schedule Tables'!M779*'B. Implementation Plan'!H290)*(1+E9)^M11</f>
        <v>0</v>
      </c>
      <c r="N19" s="168">
        <f ca="1">('D. Annual Schedule Tables'!N758*'B. Implementation Plan'!E290+'D. Annual Schedule Tables'!N765*'B. Implementation Plan'!F290+'D. Annual Schedule Tables'!N772*'B. Implementation Plan'!G290+'D. Annual Schedule Tables'!N779*'B. Implementation Plan'!H290)*(1+E9)^N11</f>
        <v>0</v>
      </c>
      <c r="O19" s="168">
        <f ca="1">('D. Annual Schedule Tables'!O758*'B. Implementation Plan'!E290+'D. Annual Schedule Tables'!O765*'B. Implementation Plan'!F290+'D. Annual Schedule Tables'!O772*'B. Implementation Plan'!G290+'D. Annual Schedule Tables'!O779*'B. Implementation Plan'!H290)*(1+E9)^O11</f>
        <v>0</v>
      </c>
      <c r="P19" s="415">
        <f t="shared" ca="1" si="0"/>
        <v>0</v>
      </c>
    </row>
    <row r="20" spans="3:16" x14ac:dyDescent="0.3">
      <c r="C20" s="398" t="s">
        <v>819</v>
      </c>
      <c r="E20" s="399">
        <f t="shared" ref="E20:O20" ca="1" si="1">SUM(E12:E19)</f>
        <v>994700</v>
      </c>
      <c r="F20" s="399">
        <f t="shared" ca="1" si="1"/>
        <v>1016914.3999999999</v>
      </c>
      <c r="G20" s="399">
        <f t="shared" ca="1" si="1"/>
        <v>1055791.4368</v>
      </c>
      <c r="H20" s="399">
        <f t="shared" ca="1" si="1"/>
        <v>1095599.7700864002</v>
      </c>
      <c r="I20" s="399">
        <f t="shared" ca="1" si="1"/>
        <v>1140087.8433810435</v>
      </c>
      <c r="J20" s="399">
        <f t="shared" ca="1" si="1"/>
        <v>1185556.6712866635</v>
      </c>
      <c r="K20" s="399">
        <f t="shared" ca="1" si="1"/>
        <v>1232353.6276337605</v>
      </c>
      <c r="L20" s="399">
        <f t="shared" ca="1" si="1"/>
        <v>1280400.4601599099</v>
      </c>
      <c r="M20" s="399">
        <f t="shared" ca="1" si="1"/>
        <v>1329612.5386970865</v>
      </c>
      <c r="N20" s="399">
        <f t="shared" ca="1" si="1"/>
        <v>1379898.5859613905</v>
      </c>
      <c r="O20" s="414">
        <f t="shared" ca="1" si="1"/>
        <v>1431629.2097607991</v>
      </c>
      <c r="P20" s="416">
        <f ca="1">SUM(E20:O20)</f>
        <v>13142544.543767054</v>
      </c>
    </row>
    <row r="21" spans="3:16" x14ac:dyDescent="0.3">
      <c r="C21" s="398" t="s">
        <v>605</v>
      </c>
      <c r="E21" s="399">
        <f ca="1">'D. Annual Schedule Tables'!E156*'B. Implementation Plan'!E119*(1+E9)^E11</f>
        <v>124000</v>
      </c>
      <c r="F21" s="399">
        <f ca="1">'D. Annual Schedule Tables'!F156*'B. Implementation Plan'!E119*(1+E9)^F11</f>
        <v>130048</v>
      </c>
      <c r="G21" s="399">
        <f ca="1">'D. Annual Schedule Tables'!G156*'B. Implementation Plan'!E119*(1+E9)^G11</f>
        <v>136257.79200000002</v>
      </c>
      <c r="H21" s="399">
        <f ca="1">'D. Annual Schedule Tables'!H156*'B. Implementation Plan'!E119*(1+E9)^H11</f>
        <v>140535.46086399999</v>
      </c>
      <c r="I21" s="399">
        <f ca="1">'D. Annual Schedule Tables'!I156*'B. Implementation Plan'!E119*(1+E9)^I11</f>
        <v>147046.23803596801</v>
      </c>
      <c r="J21" s="399">
        <f ca="1">'D. Annual Schedule Tables'!J156*'B. Implementation Plan'!E119*(1+E9)^J11</f>
        <v>151564.18042200065</v>
      </c>
      <c r="K21" s="399">
        <f ca="1">'D. Annual Schedule Tables'!K156*'B. Implementation Plan'!E119*(1+E9)^K11</f>
        <v>158388.89894614558</v>
      </c>
      <c r="L21" s="399">
        <f ca="1">'D. Annual Schedule Tables'!L156*'B. Implementation Plan'!E119*(1+E9)^L11</f>
        <v>163158.16468107954</v>
      </c>
      <c r="M21" s="399">
        <f ca="1">'D. Annual Schedule Tables'!M156*'B. Implementation Plan'!E119*(1+E9)^M11</f>
        <v>170310.30340682549</v>
      </c>
      <c r="N21" s="399">
        <f ca="1">'D. Annual Schedule Tables'!N156*'B. Implementation Plan'!E119*(1+E9)^N11</f>
        <v>175342.40517148585</v>
      </c>
      <c r="O21" s="414">
        <f ca="1">'D. Annual Schedule Tables'!O156*'B. Implementation Plan'!E119*(1+E9)^O11</f>
        <v>182835.98585565671</v>
      </c>
      <c r="P21" s="416">
        <f ca="1">SUM(E21:O21)</f>
        <v>1679487.4293831619</v>
      </c>
    </row>
    <row r="22" spans="3:16" outlineLevel="1" x14ac:dyDescent="0.3">
      <c r="C22" s="396" t="s">
        <v>574</v>
      </c>
      <c r="E22" s="168">
        <f>'D. Annual Schedule Tables'!E679*'B. Implementation Plan'!E157*(1+E9)^E11</f>
        <v>0</v>
      </c>
      <c r="F22" s="168">
        <f ca="1">'D. Annual Schedule Tables'!F679*'B. Implementation Plan'!E157*(1+E9)^F11</f>
        <v>0</v>
      </c>
      <c r="G22" s="168">
        <f ca="1">'D. Annual Schedule Tables'!G679*'B. Implementation Plan'!E157*(1+E9)^G11</f>
        <v>0</v>
      </c>
      <c r="H22" s="168">
        <f ca="1">'D. Annual Schedule Tables'!H679*'B. Implementation Plan'!E157*(1+E9)^H11</f>
        <v>0</v>
      </c>
      <c r="I22" s="168">
        <f ca="1">'D. Annual Schedule Tables'!I679*'B. Implementation Plan'!E157*(1+E9)^I11</f>
        <v>0</v>
      </c>
      <c r="J22" s="168">
        <f ca="1">'D. Annual Schedule Tables'!J679*'B. Implementation Plan'!E157*(1+E9)^J11</f>
        <v>0</v>
      </c>
      <c r="K22" s="168">
        <f ca="1">'D. Annual Schedule Tables'!K679*'B. Implementation Plan'!E157*(1+E9)^K11</f>
        <v>0</v>
      </c>
      <c r="L22" s="168">
        <f ca="1">'D. Annual Schedule Tables'!L679*'B. Implementation Plan'!E157*(1+E9)^L11</f>
        <v>0</v>
      </c>
      <c r="M22" s="168">
        <f ca="1">'D. Annual Schedule Tables'!M679*'B. Implementation Plan'!E157*(1+E9)^M11</f>
        <v>0</v>
      </c>
      <c r="N22" s="168">
        <f ca="1">'D. Annual Schedule Tables'!N679*'B. Implementation Plan'!E157*(1+E9)^N11</f>
        <v>0</v>
      </c>
      <c r="O22" s="413">
        <f ca="1">'D. Annual Schedule Tables'!O679*'B. Implementation Plan'!E157*(1+E9)^O11</f>
        <v>0</v>
      </c>
      <c r="P22" s="415">
        <f t="shared" ref="P22:P31" ca="1" si="2">SUM(E22:O22)</f>
        <v>0</v>
      </c>
    </row>
    <row r="23" spans="3:16" outlineLevel="1" x14ac:dyDescent="0.3">
      <c r="C23" s="396" t="s">
        <v>575</v>
      </c>
      <c r="E23" s="168">
        <f>'D. Annual Schedule Tables'!E681*'B. Implementation Plan'!E178*(1+E9)^E11</f>
        <v>0</v>
      </c>
      <c r="F23" s="168">
        <f ca="1">'D. Annual Schedule Tables'!F681*'B. Implementation Plan'!E178*(1+E9)^F11</f>
        <v>0</v>
      </c>
      <c r="G23" s="168">
        <f ca="1">'D. Annual Schedule Tables'!G681*'B. Implementation Plan'!E178*(1+E9)^G11</f>
        <v>0</v>
      </c>
      <c r="H23" s="168">
        <f ca="1">'D. Annual Schedule Tables'!H681*'B. Implementation Plan'!E178*(1+E9)^H11</f>
        <v>0</v>
      </c>
      <c r="I23" s="168">
        <f ca="1">'D. Annual Schedule Tables'!I681*'B. Implementation Plan'!E178*(1+E9)^I11</f>
        <v>0</v>
      </c>
      <c r="J23" s="168">
        <f ca="1">'D. Annual Schedule Tables'!J681*'B. Implementation Plan'!E178*(1+E9)^J11</f>
        <v>0</v>
      </c>
      <c r="K23" s="168">
        <f ca="1">'D. Annual Schedule Tables'!K681*'B. Implementation Plan'!E178*(1+E9)^K11</f>
        <v>0</v>
      </c>
      <c r="L23" s="168">
        <f ca="1">'D. Annual Schedule Tables'!L681*'B. Implementation Plan'!E178*(1+E9)^L11</f>
        <v>0</v>
      </c>
      <c r="M23" s="168">
        <f ca="1">'D. Annual Schedule Tables'!M681*'B. Implementation Plan'!E178*(1+E9)^M11</f>
        <v>0</v>
      </c>
      <c r="N23" s="168">
        <f ca="1">'D. Annual Schedule Tables'!N681*'B. Implementation Plan'!E178*(1+E9)^N11</f>
        <v>0</v>
      </c>
      <c r="O23" s="413">
        <f ca="1">'D. Annual Schedule Tables'!O681*'B. Implementation Plan'!E178*(1+E9)^O11</f>
        <v>0</v>
      </c>
      <c r="P23" s="415">
        <f t="shared" ca="1" si="2"/>
        <v>0</v>
      </c>
    </row>
    <row r="24" spans="3:16" outlineLevel="1" x14ac:dyDescent="0.3">
      <c r="C24" s="420" t="s">
        <v>576</v>
      </c>
      <c r="E24" s="168">
        <f>IFERROR('D. Annual Schedule Tables'!E683*'B. Implementation Plan'!E202*(1+E9)^E11,"")</f>
        <v>0</v>
      </c>
      <c r="F24" s="168">
        <f ca="1">IFERROR('D. Annual Schedule Tables'!F683*'B. Implementation Plan'!E202*(1+E9)^F11,"")</f>
        <v>159105.60000000001</v>
      </c>
      <c r="G24" s="168">
        <f ca="1">IFERROR('D. Annual Schedule Tables'!G683*'B. Implementation Plan'!E202*(1+E9)^G11,"")</f>
        <v>92903.040000000008</v>
      </c>
      <c r="H24" s="168">
        <f ca="1">IFERROR('D. Annual Schedule Tables'!H683*'B. Implementation Plan'!E202*(1+E9)^H11,"")</f>
        <v>32092.426137599999</v>
      </c>
      <c r="I24" s="168">
        <f ca="1">IFERROR('D. Annual Schedule Tables'!I683*'B. Implementation Plan'!E202*(1+E9)^I11,"")</f>
        <v>32605.904955801601</v>
      </c>
      <c r="J24" s="168">
        <f ca="1">IFERROR('D. Annual Schedule Tables'!J683*'B. Implementation Plan'!E202*(1+E9)^J11,"")</f>
        <v>33127.599435094431</v>
      </c>
      <c r="K24" s="168">
        <f ca="1">IFERROR('D. Annual Schedule Tables'!K683*'B. Implementation Plan'!E202*(1+E9)^K11,"")</f>
        <v>35637.502262882757</v>
      </c>
      <c r="L24" s="168">
        <f ca="1">IFERROR('D. Annual Schedule Tables'!L683*'B. Implementation Plan'!E202*(1+E9)^L11,"")</f>
        <v>38219.24131570493</v>
      </c>
      <c r="M24" s="168">
        <f ca="1">IFERROR('D. Annual Schedule Tables'!M683*'B. Implementation Plan'!E202*(1+E9)^M11,"")</f>
        <v>38830.74917675621</v>
      </c>
      <c r="N24" s="168">
        <f ca="1">IFERROR('D. Annual Schedule Tables'!N683*'B. Implementation Plan'!E202*(1+E9)^N11,"")</f>
        <v>39452.041163584312</v>
      </c>
      <c r="O24" s="413">
        <f ca="1">IFERROR('D. Annual Schedule Tables'!O683*'B. Implementation Plan'!E202*(1+E9)^O11,"")</f>
        <v>40083.273822201663</v>
      </c>
      <c r="P24" s="415">
        <f t="shared" ca="1" si="2"/>
        <v>542057.37826962594</v>
      </c>
    </row>
    <row r="25" spans="3:16" x14ac:dyDescent="0.3">
      <c r="C25" s="398" t="s">
        <v>581</v>
      </c>
      <c r="E25" s="399">
        <f>SUM(E22:E24)</f>
        <v>0</v>
      </c>
      <c r="F25" s="399">
        <f t="shared" ref="F25:O25" ca="1" si="3">SUM(F22:F24)</f>
        <v>159105.60000000001</v>
      </c>
      <c r="G25" s="399">
        <f t="shared" ca="1" si="3"/>
        <v>92903.040000000008</v>
      </c>
      <c r="H25" s="399">
        <f t="shared" ca="1" si="3"/>
        <v>32092.426137599999</v>
      </c>
      <c r="I25" s="399">
        <f t="shared" ca="1" si="3"/>
        <v>32605.904955801601</v>
      </c>
      <c r="J25" s="399">
        <f t="shared" ca="1" si="3"/>
        <v>33127.599435094431</v>
      </c>
      <c r="K25" s="399">
        <f t="shared" ca="1" si="3"/>
        <v>35637.502262882757</v>
      </c>
      <c r="L25" s="399">
        <f t="shared" ca="1" si="3"/>
        <v>38219.24131570493</v>
      </c>
      <c r="M25" s="399">
        <f t="shared" ca="1" si="3"/>
        <v>38830.74917675621</v>
      </c>
      <c r="N25" s="399">
        <f t="shared" ca="1" si="3"/>
        <v>39452.041163584312</v>
      </c>
      <c r="O25" s="414">
        <f t="shared" ca="1" si="3"/>
        <v>40083.273822201663</v>
      </c>
      <c r="P25" s="416">
        <f t="shared" ca="1" si="2"/>
        <v>542057.37826962594</v>
      </c>
    </row>
    <row r="26" spans="3:16" outlineLevel="1" x14ac:dyDescent="0.3">
      <c r="C26" s="396" t="s">
        <v>586</v>
      </c>
      <c r="E26" s="168">
        <f ca="1">('D. Annual Schedule Tables'!E745*'B. Implementation Plan'!E265+'D. Annual Schedule Tables'!E746*'B. Implementation Plan'!E266+'D. Annual Schedule Tables'!E747*'B. Implementation Plan'!E267)*(1+E9)^E11</f>
        <v>0</v>
      </c>
      <c r="F26" s="168">
        <f ca="1">('D. Annual Schedule Tables'!F745*'B. Implementation Plan'!E265+'D. Annual Schedule Tables'!F746*'B. Implementation Plan'!E266+'D. Annual Schedule Tables'!F747*'B. Implementation Plan'!E267)*(1+E9)^F11</f>
        <v>0</v>
      </c>
      <c r="G26" s="168">
        <f ca="1">('D. Annual Schedule Tables'!G745*'B. Implementation Plan'!E265+'D. Annual Schedule Tables'!G746*'B. Implementation Plan'!E266+'D. Annual Schedule Tables'!G747*'B. Implementation Plan'!E267)*(1+E9)^G11</f>
        <v>0</v>
      </c>
      <c r="H26" s="168">
        <f ca="1">('D. Annual Schedule Tables'!H745*'B. Implementation Plan'!E265+'D. Annual Schedule Tables'!H746*'B. Implementation Plan'!E266+'D. Annual Schedule Tables'!H747*'B. Implementation Plan'!E267)*(1+E9)^H11</f>
        <v>0</v>
      </c>
      <c r="I26" s="168">
        <f ca="1">('D. Annual Schedule Tables'!I745*'B. Implementation Plan'!E265+'D. Annual Schedule Tables'!I746*'B. Implementation Plan'!E266+'D. Annual Schedule Tables'!I747*'B. Implementation Plan'!E267)*(1+E9)^I11</f>
        <v>0</v>
      </c>
      <c r="J26" s="168">
        <f ca="1">('D. Annual Schedule Tables'!J745*'B. Implementation Plan'!E265+'D. Annual Schedule Tables'!J746*'B. Implementation Plan'!E266+'D. Annual Schedule Tables'!J747*'B. Implementation Plan'!E267)*(1+E9)^J11</f>
        <v>0</v>
      </c>
      <c r="K26" s="168">
        <f ca="1">('D. Annual Schedule Tables'!K745*'B. Implementation Plan'!E265+'D. Annual Schedule Tables'!K746*'B. Implementation Plan'!E266+'D. Annual Schedule Tables'!K747*'B. Implementation Plan'!E267)*(1+E9)^K11</f>
        <v>0</v>
      </c>
      <c r="L26" s="168">
        <f ca="1">('D. Annual Schedule Tables'!L745*'B. Implementation Plan'!E265+'D. Annual Schedule Tables'!L746*'B. Implementation Plan'!E266+'D. Annual Schedule Tables'!L747*'B. Implementation Plan'!E267)*(1+E9)^L11</f>
        <v>0</v>
      </c>
      <c r="M26" s="168">
        <f ca="1">('D. Annual Schedule Tables'!M745*'B. Implementation Plan'!E265+'D. Annual Schedule Tables'!M746*'B. Implementation Plan'!E266+'D. Annual Schedule Tables'!M747*'B. Implementation Plan'!E267)*(1+E9)^M11</f>
        <v>0</v>
      </c>
      <c r="N26" s="168">
        <f ca="1">('D. Annual Schedule Tables'!N745*'B. Implementation Plan'!E265+'D. Annual Schedule Tables'!N746*'B. Implementation Plan'!E266+'D. Annual Schedule Tables'!N747*'B. Implementation Plan'!E267)*(1+E9)^N11</f>
        <v>0</v>
      </c>
      <c r="O26" s="413">
        <f ca="1">('D. Annual Schedule Tables'!O745*'B. Implementation Plan'!E265+'D. Annual Schedule Tables'!O746*'B. Implementation Plan'!E266+'D. Annual Schedule Tables'!O747*'B. Implementation Plan'!E267)*(1+E9)^O11</f>
        <v>0</v>
      </c>
      <c r="P26" s="415">
        <f t="shared" ca="1" si="2"/>
        <v>0</v>
      </c>
    </row>
    <row r="27" spans="3:16" outlineLevel="1" x14ac:dyDescent="0.3">
      <c r="C27" s="420" t="s">
        <v>585</v>
      </c>
      <c r="E27" s="168">
        <f ca="1">('D. Annual Schedule Tables'!E745*'B. Implementation Plan'!F265+'D. Annual Schedule Tables'!E746*'B. Implementation Plan'!F266+'D. Annual Schedule Tables'!E747*'B. Implementation Plan'!F267)*(1+E9)^E11</f>
        <v>0</v>
      </c>
      <c r="F27" s="168">
        <f ca="1">('D. Annual Schedule Tables'!F745*'B. Implementation Plan'!F265+'D. Annual Schedule Tables'!F746*'B. Implementation Plan'!F266+'D. Annual Schedule Tables'!F747*'B. Implementation Plan'!F267)*(1+E9)^F11</f>
        <v>0</v>
      </c>
      <c r="G27" s="168">
        <f ca="1">('D. Annual Schedule Tables'!G745*'B. Implementation Plan'!F265+'D. Annual Schedule Tables'!G746*'B. Implementation Plan'!F266+'D. Annual Schedule Tables'!G747*'B. Implementation Plan'!F267)*(1+E9)^G11</f>
        <v>0</v>
      </c>
      <c r="H27" s="168">
        <f ca="1">('D. Annual Schedule Tables'!H745*'B. Implementation Plan'!F265+'D. Annual Schedule Tables'!H746*'B. Implementation Plan'!F266+'D. Annual Schedule Tables'!H747*'B. Implementation Plan'!F267)*(1+E9)^H11</f>
        <v>0</v>
      </c>
      <c r="I27" s="168">
        <f ca="1">('D. Annual Schedule Tables'!I745*'B. Implementation Plan'!F265+'D. Annual Schedule Tables'!I746*'B. Implementation Plan'!F266+'D. Annual Schedule Tables'!I747*'B. Implementation Plan'!F267)*(1+E9)^I11</f>
        <v>0</v>
      </c>
      <c r="J27" s="168">
        <f ca="1">('D. Annual Schedule Tables'!J745*'B. Implementation Plan'!F265+'D. Annual Schedule Tables'!J746*'B. Implementation Plan'!F266+'D. Annual Schedule Tables'!J747*'B. Implementation Plan'!F267)*(1+E9)^J11</f>
        <v>0</v>
      </c>
      <c r="K27" s="168">
        <f ca="1">('D. Annual Schedule Tables'!K745*'B. Implementation Plan'!F265+'D. Annual Schedule Tables'!K746*'B. Implementation Plan'!F266+'D. Annual Schedule Tables'!K747*'B. Implementation Plan'!F267)*(1+E9)^K11</f>
        <v>0</v>
      </c>
      <c r="L27" s="168">
        <f ca="1">('D. Annual Schedule Tables'!L745*'B. Implementation Plan'!F265+'D. Annual Schedule Tables'!L746*'B. Implementation Plan'!F266+'D. Annual Schedule Tables'!L747*'B. Implementation Plan'!F267)*(1+E9)^L11</f>
        <v>0</v>
      </c>
      <c r="M27" s="168">
        <f ca="1">('D. Annual Schedule Tables'!M745*'B. Implementation Plan'!F265+'D. Annual Schedule Tables'!M746*'B. Implementation Plan'!F266+'D. Annual Schedule Tables'!M747*'B. Implementation Plan'!F267)*(1+E9)^M11</f>
        <v>0</v>
      </c>
      <c r="N27" s="168">
        <f ca="1">('D. Annual Schedule Tables'!N745*'B. Implementation Plan'!F265+'D. Annual Schedule Tables'!N746*'B. Implementation Plan'!F266+'D. Annual Schedule Tables'!N747*'B. Implementation Plan'!F267)*(1+E9)^N11</f>
        <v>0</v>
      </c>
      <c r="O27" s="413">
        <f ca="1">('D. Annual Schedule Tables'!O745*'B. Implementation Plan'!F265+'D. Annual Schedule Tables'!O746*'B. Implementation Plan'!F266+'D. Annual Schedule Tables'!O747*'B. Implementation Plan'!F267)*(1+E9)^O11</f>
        <v>0</v>
      </c>
      <c r="P27" s="415">
        <f t="shared" ca="1" si="2"/>
        <v>0</v>
      </c>
    </row>
    <row r="28" spans="3:16" x14ac:dyDescent="0.3">
      <c r="C28" s="398" t="s">
        <v>584</v>
      </c>
      <c r="E28" s="399">
        <f ca="1">SUM(E26:E27)</f>
        <v>0</v>
      </c>
      <c r="F28" s="399">
        <f t="shared" ref="F28:O28" ca="1" si="4">SUM(F26:F27)</f>
        <v>0</v>
      </c>
      <c r="G28" s="399">
        <f t="shared" ca="1" si="4"/>
        <v>0</v>
      </c>
      <c r="H28" s="399">
        <f t="shared" ca="1" si="4"/>
        <v>0</v>
      </c>
      <c r="I28" s="399">
        <f t="shared" ca="1" si="4"/>
        <v>0</v>
      </c>
      <c r="J28" s="399">
        <f t="shared" ca="1" si="4"/>
        <v>0</v>
      </c>
      <c r="K28" s="399">
        <f t="shared" ca="1" si="4"/>
        <v>0</v>
      </c>
      <c r="L28" s="399">
        <f t="shared" ca="1" si="4"/>
        <v>0</v>
      </c>
      <c r="M28" s="399">
        <f t="shared" ca="1" si="4"/>
        <v>0</v>
      </c>
      <c r="N28" s="399">
        <f t="shared" ca="1" si="4"/>
        <v>0</v>
      </c>
      <c r="O28" s="414">
        <f t="shared" ca="1" si="4"/>
        <v>0</v>
      </c>
      <c r="P28" s="416">
        <f t="shared" ca="1" si="2"/>
        <v>0</v>
      </c>
    </row>
    <row r="29" spans="3:16" outlineLevel="1" x14ac:dyDescent="0.3">
      <c r="C29" s="396" t="s">
        <v>611</v>
      </c>
      <c r="E29" s="168">
        <f>('D. Annual Schedule Tables'!E759*'B. Implementation Plan'!E288+'D. Annual Schedule Tables'!E766*'B. Implementation Plan'!F288+'D. Annual Schedule Tables'!E773*'B. Implementation Plan'!G288+'D. Annual Schedule Tables'!E780*'B. Implementation Plan'!H288)*(1+E9)^E11</f>
        <v>0</v>
      </c>
      <c r="F29" s="168">
        <f ca="1">('D. Annual Schedule Tables'!F759*'B. Implementation Plan'!E288+'D. Annual Schedule Tables'!F766*'B. Implementation Plan'!F288+'D. Annual Schedule Tables'!F773*'B. Implementation Plan'!G288+'D. Annual Schedule Tables'!F780*'B. Implementation Plan'!H288)*(1+E9)^F11</f>
        <v>0</v>
      </c>
      <c r="G29" s="168">
        <f ca="1">('D. Annual Schedule Tables'!G759*'B. Implementation Plan'!E288+'D. Annual Schedule Tables'!G766*'B. Implementation Plan'!F288+'D. Annual Schedule Tables'!G773*'B. Implementation Plan'!G288+'D. Annual Schedule Tables'!G780*'B. Implementation Plan'!H288)*(1+E9)^G11</f>
        <v>0</v>
      </c>
      <c r="H29" s="168">
        <f ca="1">('D. Annual Schedule Tables'!H759*'B. Implementation Plan'!E288+'D. Annual Schedule Tables'!H766*'B. Implementation Plan'!F288+'D. Annual Schedule Tables'!H773*'B. Implementation Plan'!G288+'D. Annual Schedule Tables'!H780*'B. Implementation Plan'!H288)*(1+E9)^H11</f>
        <v>0</v>
      </c>
      <c r="I29" s="168">
        <f ca="1">('D. Annual Schedule Tables'!I759*'B. Implementation Plan'!E288+'D. Annual Schedule Tables'!I766*'B. Implementation Plan'!F288+'D. Annual Schedule Tables'!I773*'B. Implementation Plan'!G288+'D. Annual Schedule Tables'!I780*'B. Implementation Plan'!H288)*(1+E9)^I11</f>
        <v>0</v>
      </c>
      <c r="J29" s="168">
        <f ca="1">('D. Annual Schedule Tables'!J759*'B. Implementation Plan'!E288+'D. Annual Schedule Tables'!J766*'B. Implementation Plan'!F288+'D. Annual Schedule Tables'!J773*'B. Implementation Plan'!G288+'D. Annual Schedule Tables'!J780*'B. Implementation Plan'!H288)*(1+E9)^J11</f>
        <v>0</v>
      </c>
      <c r="K29" s="168">
        <f ca="1">('D. Annual Schedule Tables'!K759*'B. Implementation Plan'!E288+'D. Annual Schedule Tables'!K766*'B. Implementation Plan'!F288+'D. Annual Schedule Tables'!K773*'B. Implementation Plan'!G288+'D. Annual Schedule Tables'!K780*'B. Implementation Plan'!H288)*(1+E9)^K11</f>
        <v>0</v>
      </c>
      <c r="L29" s="168">
        <f ca="1">('D. Annual Schedule Tables'!L759*'B. Implementation Plan'!E288+'D. Annual Schedule Tables'!L766*'B. Implementation Plan'!F288+'D. Annual Schedule Tables'!L773*'B. Implementation Plan'!G288+'D. Annual Schedule Tables'!L780*'B. Implementation Plan'!H288)*(1+E9)^L11</f>
        <v>0</v>
      </c>
      <c r="M29" s="168">
        <f ca="1">('D. Annual Schedule Tables'!M759*'B. Implementation Plan'!E288+'D. Annual Schedule Tables'!M766*'B. Implementation Plan'!F288+'D. Annual Schedule Tables'!M773*'B. Implementation Plan'!G288+'D. Annual Schedule Tables'!M780*'B. Implementation Plan'!H288)*(1+E9)^M11</f>
        <v>0</v>
      </c>
      <c r="N29" s="168">
        <f ca="1">('D. Annual Schedule Tables'!N759*'B. Implementation Plan'!E288+'D. Annual Schedule Tables'!N766*'B. Implementation Plan'!F288+'D. Annual Schedule Tables'!N773*'B. Implementation Plan'!G288+'D. Annual Schedule Tables'!N780*'B. Implementation Plan'!H288)*(1+E9)^N11</f>
        <v>0</v>
      </c>
      <c r="O29" s="168">
        <f ca="1">('D. Annual Schedule Tables'!O759*'B. Implementation Plan'!E288+'D. Annual Schedule Tables'!O766*'B. Implementation Plan'!F288+'D. Annual Schedule Tables'!O773*'B. Implementation Plan'!G288+'D. Annual Schedule Tables'!O780*'B. Implementation Plan'!H288)*(1+E9)^O11</f>
        <v>0</v>
      </c>
      <c r="P29" s="415">
        <f t="shared" ca="1" si="2"/>
        <v>0</v>
      </c>
    </row>
    <row r="30" spans="3:16" outlineLevel="1" x14ac:dyDescent="0.3">
      <c r="C30" s="420" t="s">
        <v>612</v>
      </c>
      <c r="E30" s="168">
        <f ca="1">('D. Annual Schedule Tables'!E758*'B. Implementation Plan'!E286+'D. Annual Schedule Tables'!E765*'B. Implementation Plan'!F286+'D. Annual Schedule Tables'!E772*'B. Implementation Plan'!G286+'D. Annual Schedule Tables'!E779*'B. Implementation Plan'!H286)*(1+E9)^E11</f>
        <v>0</v>
      </c>
      <c r="F30" s="168">
        <f ca="1">('D. Annual Schedule Tables'!F758*'B. Implementation Plan'!E286+'D. Annual Schedule Tables'!F765*'B. Implementation Plan'!F286+'D. Annual Schedule Tables'!F772*'B. Implementation Plan'!G286+'D. Annual Schedule Tables'!F779*'B. Implementation Plan'!H286)*(1+E9)^F11</f>
        <v>0</v>
      </c>
      <c r="G30" s="168">
        <f ca="1">('D. Annual Schedule Tables'!G758*'B. Implementation Plan'!E286+'D. Annual Schedule Tables'!G765*'B. Implementation Plan'!F286+'D. Annual Schedule Tables'!G772*'B. Implementation Plan'!G286+'D. Annual Schedule Tables'!G779*'B. Implementation Plan'!H286)*(1+E9)^G11</f>
        <v>0</v>
      </c>
      <c r="H30" s="168">
        <f ca="1">('D. Annual Schedule Tables'!H758*'B. Implementation Plan'!E286+'D. Annual Schedule Tables'!H765*'B. Implementation Plan'!F286+'D. Annual Schedule Tables'!H772*'B. Implementation Plan'!G286+'D. Annual Schedule Tables'!H779*'B. Implementation Plan'!H286)*(1+E9)^H11</f>
        <v>0</v>
      </c>
      <c r="I30" s="168">
        <f ca="1">('D. Annual Schedule Tables'!I758*'B. Implementation Plan'!E286+'D. Annual Schedule Tables'!I765*'B. Implementation Plan'!F286+'D. Annual Schedule Tables'!I772*'B. Implementation Plan'!G286+'D. Annual Schedule Tables'!I779*'B. Implementation Plan'!H286)*(1+E9)^I11</f>
        <v>0</v>
      </c>
      <c r="J30" s="168">
        <f ca="1">('D. Annual Schedule Tables'!J758*'B. Implementation Plan'!E286+'D. Annual Schedule Tables'!J765*'B. Implementation Plan'!F286+'D. Annual Schedule Tables'!J772*'B. Implementation Plan'!G286+'D. Annual Schedule Tables'!J779*'B. Implementation Plan'!H286)*(1+E9)^J11</f>
        <v>0</v>
      </c>
      <c r="K30" s="168">
        <f ca="1">('D. Annual Schedule Tables'!K758*'B. Implementation Plan'!E286+'D. Annual Schedule Tables'!K765*'B. Implementation Plan'!F286+'D. Annual Schedule Tables'!K772*'B. Implementation Plan'!G286+'D. Annual Schedule Tables'!K779*'B. Implementation Plan'!H286)*(1+E9)^K11</f>
        <v>0</v>
      </c>
      <c r="L30" s="168">
        <f ca="1">('D. Annual Schedule Tables'!L758*'B. Implementation Plan'!E286+'D. Annual Schedule Tables'!L765*'B. Implementation Plan'!F286+'D. Annual Schedule Tables'!L772*'B. Implementation Plan'!G286+'D. Annual Schedule Tables'!L779*'B. Implementation Plan'!H286)*(1+E9)^L11</f>
        <v>0</v>
      </c>
      <c r="M30" s="168">
        <f ca="1">('D. Annual Schedule Tables'!M758*'B. Implementation Plan'!E286+'D. Annual Schedule Tables'!M765*'B. Implementation Plan'!F286+'D. Annual Schedule Tables'!M772*'B. Implementation Plan'!G286+'D. Annual Schedule Tables'!M779*'B. Implementation Plan'!H286)*(1+E9)^M11</f>
        <v>0</v>
      </c>
      <c r="N30" s="168">
        <f ca="1">('D. Annual Schedule Tables'!N758*'B. Implementation Plan'!E286+'D. Annual Schedule Tables'!N765*'B. Implementation Plan'!F286+'D. Annual Schedule Tables'!N772*'B. Implementation Plan'!G286+'D. Annual Schedule Tables'!N779*'B. Implementation Plan'!H286)*(1+E9)^N11</f>
        <v>0</v>
      </c>
      <c r="O30" s="168">
        <f ca="1">('D. Annual Schedule Tables'!O758*'B. Implementation Plan'!E286+'D. Annual Schedule Tables'!O765*'B. Implementation Plan'!F286+'D. Annual Schedule Tables'!O772*'B. Implementation Plan'!G286+'D. Annual Schedule Tables'!O779*'B. Implementation Plan'!H286)*(1+E9)^O11</f>
        <v>0</v>
      </c>
      <c r="P30" s="415">
        <f t="shared" ca="1" si="2"/>
        <v>0</v>
      </c>
    </row>
    <row r="31" spans="3:16" x14ac:dyDescent="0.3">
      <c r="C31" s="398" t="s">
        <v>613</v>
      </c>
      <c r="E31" s="399">
        <f ca="1">SUM(E29:E30)</f>
        <v>0</v>
      </c>
      <c r="F31" s="399">
        <f t="shared" ref="F31:O31" ca="1" si="5">SUM(F29:F30)</f>
        <v>0</v>
      </c>
      <c r="G31" s="399">
        <f t="shared" ca="1" si="5"/>
        <v>0</v>
      </c>
      <c r="H31" s="399">
        <f t="shared" ca="1" si="5"/>
        <v>0</v>
      </c>
      <c r="I31" s="399">
        <f t="shared" ca="1" si="5"/>
        <v>0</v>
      </c>
      <c r="J31" s="399">
        <f t="shared" ca="1" si="5"/>
        <v>0</v>
      </c>
      <c r="K31" s="399">
        <f t="shared" ca="1" si="5"/>
        <v>0</v>
      </c>
      <c r="L31" s="399">
        <f t="shared" ca="1" si="5"/>
        <v>0</v>
      </c>
      <c r="M31" s="399">
        <f t="shared" ca="1" si="5"/>
        <v>0</v>
      </c>
      <c r="N31" s="399">
        <f t="shared" ca="1" si="5"/>
        <v>0</v>
      </c>
      <c r="O31" s="414">
        <f t="shared" ca="1" si="5"/>
        <v>0</v>
      </c>
      <c r="P31" s="416">
        <f t="shared" ca="1" si="2"/>
        <v>0</v>
      </c>
    </row>
    <row r="32" spans="3:16" x14ac:dyDescent="0.3">
      <c r="C32" s="398" t="s">
        <v>617</v>
      </c>
      <c r="E32" s="399">
        <f>(ROUND('D. Annual Schedule Tables'!E787*'B. Implementation Plan'!E315,0)*'B. Implementation Plan'!E312+ROUND('D. Annual Schedule Tables'!E788*'B. Implementation Plan'!E315,0)*'B. Implementation Plan'!F312+ROUND('D. Annual Schedule Tables'!E789*'B. Implementation Plan'!E315,0)*'B. Implementation Plan'!G312)*(1+E9)^E11</f>
        <v>0</v>
      </c>
      <c r="F32" s="399">
        <f ca="1">(ROUND('D. Annual Schedule Tables'!F787*'B. Implementation Plan'!F315,0)*'B. Implementation Plan'!E312+ROUND('D. Annual Schedule Tables'!F788*'B. Implementation Plan'!F315,0)*'B. Implementation Plan'!F312+ROUND('D. Annual Schedule Tables'!F789*'B. Implementation Plan'!F315,0)*'B. Implementation Plan'!G312)*(1+E9)^F11</f>
        <v>0</v>
      </c>
      <c r="G32" s="399">
        <f ca="1">(ROUND('D. Annual Schedule Tables'!G787*'B. Implementation Plan'!G315,0)*'B. Implementation Plan'!E312+ROUND('D. Annual Schedule Tables'!G788*'B. Implementation Plan'!G315,0)*'B. Implementation Plan'!F312+ROUND('D. Annual Schedule Tables'!G789*'B. Implementation Plan'!G315,0)*'B. Implementation Plan'!G312)*(1+E9)^G11</f>
        <v>260128.51200000002</v>
      </c>
      <c r="H32" s="399">
        <f ca="1">(ROUND('D. Annual Schedule Tables'!H787*'B. Implementation Plan'!H315,0)*'B. Implementation Plan'!E312+ROUND('D. Annual Schedule Tables'!H788*'B. Implementation Plan'!H315,0)*'B. Implementation Plan'!F312+ROUND('D. Annual Schedule Tables'!H789*'B. Implementation Plan'!H315,0)*'B. Implementation Plan'!G312)*(1+E9)^H11</f>
        <v>220242.14016000001</v>
      </c>
      <c r="I32" s="399">
        <f ca="1">(ROUND('D. Annual Schedule Tables'!I787*'B. Implementation Plan'!I315,0)*'B. Implementation Plan'!E312+ROUND('D. Annual Schedule Tables'!I788*'B. Implementation Plan'!I315,0)*'B. Implementation Plan'!F312+ROUND('D. Annual Schedule Tables'!I789*'B. Implementation Plan'!I315,0)*'B. Implementation Plan'!G312)*(1+E9)^I11</f>
        <v>268519.21728307201</v>
      </c>
      <c r="J32" s="399">
        <f ca="1">(ROUND('D. Annual Schedule Tables'!J787*'B. Implementation Plan'!J315,0)*'B. Implementation Plan'!E312+ROUND('D. Annual Schedule Tables'!J788*'B. Implementation Plan'!J315,0)*'B. Implementation Plan'!F312+ROUND('D. Annual Schedule Tables'!J789*'B. Implementation Plan'!J315,0)*'B. Implementation Plan'!G312)*(1+E9)^J11</f>
        <v>272815.52475960116</v>
      </c>
      <c r="K32" s="399">
        <f ca="1">(ROUND('D. Annual Schedule Tables'!K787*'B. Implementation Plan'!K315,0)*'B. Implementation Plan'!E312+ROUND('D. Annual Schedule Tables'!K788*'B. Implementation Plan'!K315,0)*'B. Implementation Plan'!F312+ROUND('D. Annual Schedule Tables'!K789*'B. Implementation Plan'!K315,0)*'B. Implementation Plan'!G312)*(1+E9)^K11</f>
        <v>277180.57315575477</v>
      </c>
      <c r="L32" s="399">
        <f ca="1">(ROUND('D. Annual Schedule Tables'!L787*'B. Implementation Plan'!L315,0)*'B. Implementation Plan'!E312+ROUND('D. Annual Schedule Tables'!L788*'B. Implementation Plan'!L315,0)*'B. Implementation Plan'!F312+ROUND('D. Annual Schedule Tables'!L789*'B. Implementation Plan'!L315,0)*'B. Implementation Plan'!G312)*(1+E9)^L11</f>
        <v>281615.4623262469</v>
      </c>
      <c r="M32" s="399">
        <f ca="1">(ROUND('D. Annual Schedule Tables'!M787*'B. Implementation Plan'!M315,0)*'B. Implementation Plan'!E312+ROUND('D. Annual Schedule Tables'!M788*'B. Implementation Plan'!M315,0)*'B. Implementation Plan'!F312+ROUND('D. Annual Schedule Tables'!M789*'B. Implementation Plan'!M315,0)*'B. Implementation Plan'!G312)*(1+E9)^M11</f>
        <v>286121.30972346681</v>
      </c>
      <c r="N32" s="399">
        <f ca="1">(ROUND('D. Annual Schedule Tables'!N787*'B. Implementation Plan'!N315,0)*'B. Implementation Plan'!E312+ROUND('D. Annual Schedule Tables'!N788*'B. Implementation Plan'!N315,0)*'B. Implementation Plan'!F312+ROUND('D. Annual Schedule Tables'!N789*'B. Implementation Plan'!N315,0)*'B. Implementation Plan'!G312)*(1+E9)^N11</f>
        <v>242249.3755658686</v>
      </c>
      <c r="O32" s="399">
        <f ca="1">(ROUND('D. Annual Schedule Tables'!O787*'B. Implementation Plan'!O315,0)*'B. Implementation Plan'!E312+ROUND('D. Annual Schedule Tables'!O788*'B. Implementation Plan'!O315,0)*'B. Implementation Plan'!F312+ROUND('D. Annual Schedule Tables'!O789*'B. Implementation Plan'!O315,0)*'B. Implementation Plan'!G312)*(1+E9)^O11</f>
        <v>295350.43868990702</v>
      </c>
      <c r="P32" s="416">
        <f t="shared" ref="P32:P37" ca="1" si="6">SUM(E32:O32)</f>
        <v>2404222.5536639174</v>
      </c>
    </row>
    <row r="33" spans="3:16" x14ac:dyDescent="0.3">
      <c r="C33" s="421" t="s">
        <v>623</v>
      </c>
      <c r="E33" s="399">
        <f>IF('B. Implementation Plan'!E327="",0,'B. Implementation Plan'!E327)</f>
        <v>250000</v>
      </c>
      <c r="F33" s="399">
        <f>IF('B. Implementation Plan'!F327="",0,'B. Implementation Plan'!F327)</f>
        <v>250000</v>
      </c>
      <c r="G33" s="399">
        <f>IF('B. Implementation Plan'!G327="",0,'B. Implementation Plan'!G327)</f>
        <v>250000</v>
      </c>
      <c r="H33" s="399">
        <f>IF('B. Implementation Plan'!H327="",0,'B. Implementation Plan'!H327)</f>
        <v>250000</v>
      </c>
      <c r="I33" s="399">
        <f>IF('B. Implementation Plan'!I327="",0,'B. Implementation Plan'!I327)</f>
        <v>250000</v>
      </c>
      <c r="J33" s="399">
        <f>IF('B. Implementation Plan'!J327="",0,'B. Implementation Plan'!J327)</f>
        <v>250000</v>
      </c>
      <c r="K33" s="399">
        <f>IF('B. Implementation Plan'!K327="",0,'B. Implementation Plan'!K327)</f>
        <v>250000</v>
      </c>
      <c r="L33" s="399">
        <f>IF('B. Implementation Plan'!L327="",0,'B. Implementation Plan'!L327)</f>
        <v>250000</v>
      </c>
      <c r="M33" s="399">
        <f>IF('B. Implementation Plan'!M327="",0,'B. Implementation Plan'!M327)</f>
        <v>250000</v>
      </c>
      <c r="N33" s="399">
        <f>IF('B. Implementation Plan'!N327="",0,'B. Implementation Plan'!N327)</f>
        <v>250000</v>
      </c>
      <c r="O33" s="399">
        <f>IF('B. Implementation Plan'!O327="",0,'B. Implementation Plan'!O327)</f>
        <v>250000</v>
      </c>
      <c r="P33" s="416">
        <f t="shared" si="6"/>
        <v>2750000</v>
      </c>
    </row>
    <row r="34" spans="3:16" x14ac:dyDescent="0.3">
      <c r="C34" s="409" t="s">
        <v>634</v>
      </c>
      <c r="E34" s="399">
        <f ca="1">E20+E21+E25+E28+SUM(E31:E33)</f>
        <v>1368700</v>
      </c>
      <c r="F34" s="399">
        <f t="shared" ref="F34:O34" ca="1" si="7">F20+F21+F25+F28+SUM(F31:F33)</f>
        <v>1556068</v>
      </c>
      <c r="G34" s="399">
        <f t="shared" ca="1" si="7"/>
        <v>1795080.7808000003</v>
      </c>
      <c r="H34" s="399">
        <f t="shared" ca="1" si="7"/>
        <v>1738469.7972480003</v>
      </c>
      <c r="I34" s="399">
        <f t="shared" ca="1" si="7"/>
        <v>1838259.2036558851</v>
      </c>
      <c r="J34" s="399">
        <f t="shared" ca="1" si="7"/>
        <v>1893063.9759033597</v>
      </c>
      <c r="K34" s="399">
        <f t="shared" ca="1" si="7"/>
        <v>1953560.6019985434</v>
      </c>
      <c r="L34" s="399">
        <f t="shared" ca="1" si="7"/>
        <v>2013393.3284829413</v>
      </c>
      <c r="M34" s="399">
        <f t="shared" ca="1" si="7"/>
        <v>2074874.9010041351</v>
      </c>
      <c r="N34" s="399">
        <f t="shared" ca="1" si="7"/>
        <v>2086942.4078623292</v>
      </c>
      <c r="O34" s="399">
        <f t="shared" ca="1" si="7"/>
        <v>2199898.9081285642</v>
      </c>
      <c r="P34" s="416">
        <f t="shared" ca="1" si="6"/>
        <v>20518311.905083757</v>
      </c>
    </row>
    <row r="35" spans="3:16" x14ac:dyDescent="0.3">
      <c r="C35" s="398" t="s">
        <v>625</v>
      </c>
      <c r="E35" s="399">
        <f ca="1">E34*'B. Implementation Plan'!E332/(1-'B. Implementation Plan'!E332)</f>
        <v>2053050</v>
      </c>
      <c r="F35" s="399">
        <f ca="1">F34*'B. Implementation Plan'!E332/(1-'B. Implementation Plan'!E332)</f>
        <v>2334101.9999999995</v>
      </c>
      <c r="G35" s="399">
        <f ca="1">G34*'B. Implementation Plan'!E332/(1-'B. Implementation Plan'!E332)</f>
        <v>2692621.1711999997</v>
      </c>
      <c r="H35" s="399">
        <f ca="1">H34*'B. Implementation Plan'!E332/(1-'B. Implementation Plan'!E332)</f>
        <v>2607704.695872</v>
      </c>
      <c r="I35" s="399">
        <f ca="1">I34*'B. Implementation Plan'!E332/(1-'B. Implementation Plan'!E332)</f>
        <v>2757388.8054838274</v>
      </c>
      <c r="J35" s="399">
        <f ca="1">J34*'B. Implementation Plan'!E332/(1-'B. Implementation Plan'!E332)</f>
        <v>2839595.9638550393</v>
      </c>
      <c r="K35" s="399">
        <f ca="1">K34*'B. Implementation Plan'!E332/(1-'B. Implementation Plan'!E332)</f>
        <v>2930340.9029978146</v>
      </c>
      <c r="L35" s="399">
        <f ca="1">L34*'B. Implementation Plan'!E332/(1-'B. Implementation Plan'!E332)</f>
        <v>3020089.9927244117</v>
      </c>
      <c r="M35" s="399">
        <f ca="1">M34*'B. Implementation Plan'!E332/(1-'B. Implementation Plan'!E332)</f>
        <v>3112312.3515062025</v>
      </c>
      <c r="N35" s="399">
        <f ca="1">N34*'B. Implementation Plan'!E332/(1-'B. Implementation Plan'!E332)</f>
        <v>3130413.6117934934</v>
      </c>
      <c r="O35" s="399">
        <f ca="1">O34*'B. Implementation Plan'!E332/(1-'B. Implementation Plan'!E332)</f>
        <v>3299848.3621928459</v>
      </c>
      <c r="P35" s="416">
        <f t="shared" ca="1" si="6"/>
        <v>30777467.857625633</v>
      </c>
    </row>
    <row r="36" spans="3:16" x14ac:dyDescent="0.3">
      <c r="C36" s="421" t="s">
        <v>626</v>
      </c>
      <c r="E36" s="399">
        <f ca="1">E34*'B. Implementation Plan'!E340/(1-'B. Implementation Plan'!E340)</f>
        <v>72036.84210526316</v>
      </c>
      <c r="F36" s="399">
        <f ca="1">F34*'B. Implementation Plan'!E340/(1-'B. Implementation Plan'!E340)</f>
        <v>81898.315789473694</v>
      </c>
      <c r="G36" s="399">
        <f ca="1">G34*'B. Implementation Plan'!E340/(1-'B. Implementation Plan'!E340)</f>
        <v>94477.935831578972</v>
      </c>
      <c r="H36" s="399">
        <f ca="1">H34*'B. Implementation Plan'!E340/(1-'B. Implementation Plan'!E340)</f>
        <v>91498.410381473703</v>
      </c>
      <c r="I36" s="399">
        <f ca="1">I34*'B. Implementation Plan'!E340/(1-'B. Implementation Plan'!E340)</f>
        <v>96750.484402941322</v>
      </c>
      <c r="J36" s="399">
        <f ca="1">J34*'B. Implementation Plan'!E340/(1-'B. Implementation Plan'!E340)</f>
        <v>99634.946100176836</v>
      </c>
      <c r="K36" s="399">
        <f ca="1">K34*'B. Implementation Plan'!E340/(1-'B. Implementation Plan'!E340)</f>
        <v>102818.97905255492</v>
      </c>
      <c r="L36" s="399">
        <f ca="1">L34*'B. Implementation Plan'!E340/(1-'B. Implementation Plan'!E340)</f>
        <v>105968.06992015481</v>
      </c>
      <c r="M36" s="399">
        <f ca="1">M34*'B. Implementation Plan'!E340/(1-'B. Implementation Plan'!E340)</f>
        <v>109203.94215811239</v>
      </c>
      <c r="N36" s="399">
        <f ca="1">N34*'B. Implementation Plan'!E340/(1-'B. Implementation Plan'!E340)</f>
        <v>109839.07409801733</v>
      </c>
      <c r="O36" s="399">
        <f ca="1">O34*'B. Implementation Plan'!E340/(1-'B. Implementation Plan'!E340)</f>
        <v>115784.15305939813</v>
      </c>
      <c r="P36" s="416">
        <f t="shared" ca="1" si="6"/>
        <v>1079911.1528991454</v>
      </c>
    </row>
    <row r="37" spans="3:16" ht="15" thickBot="1" x14ac:dyDescent="0.35">
      <c r="C37" s="409" t="s">
        <v>627</v>
      </c>
      <c r="E37" s="399">
        <f ca="1">SUM(E34:E36)</f>
        <v>3493786.8421052634</v>
      </c>
      <c r="F37" s="399">
        <f t="shared" ref="F37:O37" ca="1" si="8">SUM(F34:F36)</f>
        <v>3972068.3157894732</v>
      </c>
      <c r="G37" s="399">
        <f t="shared" ca="1" si="8"/>
        <v>4582179.887831579</v>
      </c>
      <c r="H37" s="399">
        <f t="shared" ca="1" si="8"/>
        <v>4437672.9035014734</v>
      </c>
      <c r="I37" s="399">
        <f t="shared" ca="1" si="8"/>
        <v>4692398.4935426544</v>
      </c>
      <c r="J37" s="399">
        <f t="shared" ca="1" si="8"/>
        <v>4832294.8858585767</v>
      </c>
      <c r="K37" s="399">
        <f t="shared" ca="1" si="8"/>
        <v>4986720.4840489123</v>
      </c>
      <c r="L37" s="399">
        <f t="shared" ca="1" si="8"/>
        <v>5139451.3911275081</v>
      </c>
      <c r="M37" s="399">
        <f t="shared" ca="1" si="8"/>
        <v>5296391.1946684495</v>
      </c>
      <c r="N37" s="399">
        <f t="shared" ca="1" si="8"/>
        <v>5327195.0937538398</v>
      </c>
      <c r="O37" s="399">
        <f t="shared" ca="1" si="8"/>
        <v>5615531.423380808</v>
      </c>
      <c r="P37" s="417">
        <f t="shared" ca="1" si="6"/>
        <v>52375690.91560854</v>
      </c>
    </row>
    <row r="38" spans="3:16" x14ac:dyDescent="0.3">
      <c r="P38"/>
    </row>
    <row r="39" spans="3:16" x14ac:dyDescent="0.3">
      <c r="E39" s="422"/>
      <c r="P39"/>
    </row>
    <row r="40" spans="3:16" x14ac:dyDescent="0.3">
      <c r="P40"/>
    </row>
    <row r="41" spans="3:16" x14ac:dyDescent="0.3">
      <c r="P41"/>
    </row>
    <row r="42" spans="3:16" x14ac:dyDescent="0.3">
      <c r="P42"/>
    </row>
    <row r="43" spans="3:16" x14ac:dyDescent="0.3">
      <c r="P43"/>
    </row>
    <row r="44" spans="3:16" x14ac:dyDescent="0.3">
      <c r="P44"/>
    </row>
    <row r="45" spans="3:16" x14ac:dyDescent="0.3">
      <c r="P45"/>
    </row>
    <row r="46" spans="3:16" x14ac:dyDescent="0.3">
      <c r="P46"/>
    </row>
    <row r="47" spans="3:16" x14ac:dyDescent="0.3">
      <c r="P47"/>
    </row>
    <row r="48" spans="3:16" x14ac:dyDescent="0.3">
      <c r="P48"/>
    </row>
    <row r="49" spans="16:16" x14ac:dyDescent="0.3">
      <c r="P49"/>
    </row>
    <row r="50" spans="16:16" x14ac:dyDescent="0.3">
      <c r="P50"/>
    </row>
    <row r="51" spans="16:16" x14ac:dyDescent="0.3">
      <c r="P51"/>
    </row>
    <row r="52" spans="16:16" x14ac:dyDescent="0.3">
      <c r="P52"/>
    </row>
    <row r="53" spans="16:16" x14ac:dyDescent="0.3">
      <c r="P53"/>
    </row>
    <row r="54" spans="16:16" x14ac:dyDescent="0.3">
      <c r="P54"/>
    </row>
    <row r="55" spans="16:16" x14ac:dyDescent="0.3">
      <c r="P55"/>
    </row>
    <row r="56" spans="16:16" x14ac:dyDescent="0.3">
      <c r="P56"/>
    </row>
    <row r="57" spans="16:16" x14ac:dyDescent="0.3">
      <c r="P57"/>
    </row>
    <row r="58" spans="16:16" x14ac:dyDescent="0.3">
      <c r="P58"/>
    </row>
    <row r="59" spans="16:16" x14ac:dyDescent="0.3">
      <c r="P59"/>
    </row>
    <row r="60" spans="16:16" x14ac:dyDescent="0.3">
      <c r="P60"/>
    </row>
    <row r="61" spans="16:16" x14ac:dyDescent="0.3">
      <c r="P61"/>
    </row>
    <row r="62" spans="16:16" x14ac:dyDescent="0.3">
      <c r="P62"/>
    </row>
    <row r="63" spans="16:16" x14ac:dyDescent="0.3">
      <c r="P63"/>
    </row>
    <row r="64" spans="16:16" x14ac:dyDescent="0.3">
      <c r="P64"/>
    </row>
    <row r="65" spans="16:16" x14ac:dyDescent="0.3">
      <c r="P65"/>
    </row>
    <row r="66" spans="16:16" x14ac:dyDescent="0.3">
      <c r="P66"/>
    </row>
    <row r="67" spans="16:16" x14ac:dyDescent="0.3">
      <c r="P67"/>
    </row>
    <row r="68" spans="16:16" x14ac:dyDescent="0.3">
      <c r="P68"/>
    </row>
    <row r="69" spans="16:16" x14ac:dyDescent="0.3">
      <c r="P69"/>
    </row>
    <row r="70" spans="16:16" x14ac:dyDescent="0.3">
      <c r="P70"/>
    </row>
    <row r="71" spans="16:16" x14ac:dyDescent="0.3">
      <c r="P71"/>
    </row>
    <row r="72" spans="16:16" x14ac:dyDescent="0.3">
      <c r="P72"/>
    </row>
    <row r="73" spans="16:16" x14ac:dyDescent="0.3">
      <c r="P73"/>
    </row>
    <row r="74" spans="16:16" x14ac:dyDescent="0.3">
      <c r="P74"/>
    </row>
    <row r="75" spans="16:16" x14ac:dyDescent="0.3">
      <c r="P75"/>
    </row>
    <row r="76" spans="16:16" x14ac:dyDescent="0.3">
      <c r="P76"/>
    </row>
    <row r="77" spans="16:16" x14ac:dyDescent="0.3">
      <c r="P77"/>
    </row>
    <row r="78" spans="16:16" x14ac:dyDescent="0.3">
      <c r="P78"/>
    </row>
    <row r="79" spans="16:16" x14ac:dyDescent="0.3">
      <c r="P79"/>
    </row>
    <row r="80" spans="16:16" x14ac:dyDescent="0.3">
      <c r="P80"/>
    </row>
    <row r="81" spans="16:16" x14ac:dyDescent="0.3">
      <c r="P81"/>
    </row>
    <row r="82" spans="16:16" x14ac:dyDescent="0.3">
      <c r="P82"/>
    </row>
    <row r="83" spans="16:16" x14ac:dyDescent="0.3">
      <c r="P83"/>
    </row>
    <row r="84" spans="16:16" x14ac:dyDescent="0.3">
      <c r="P84"/>
    </row>
    <row r="85" spans="16:16" x14ac:dyDescent="0.3">
      <c r="P85"/>
    </row>
    <row r="86" spans="16:16" x14ac:dyDescent="0.3">
      <c r="P86"/>
    </row>
    <row r="87" spans="16:16" x14ac:dyDescent="0.3">
      <c r="P87"/>
    </row>
    <row r="88" spans="16:16" x14ac:dyDescent="0.3">
      <c r="P88"/>
    </row>
    <row r="89" spans="16:16" x14ac:dyDescent="0.3">
      <c r="P89"/>
    </row>
    <row r="90" spans="16:16" x14ac:dyDescent="0.3">
      <c r="P90"/>
    </row>
    <row r="91" spans="16:16" ht="14.55" customHeight="1" x14ac:dyDescent="0.3">
      <c r="P91"/>
    </row>
    <row r="92" spans="16:16" ht="14.55" customHeight="1" x14ac:dyDescent="0.3">
      <c r="P92"/>
    </row>
    <row r="93" spans="16:16" x14ac:dyDescent="0.3">
      <c r="P93"/>
    </row>
    <row r="94" spans="16:16" x14ac:dyDescent="0.3">
      <c r="P94"/>
    </row>
    <row r="95" spans="16:16" x14ac:dyDescent="0.3">
      <c r="P95"/>
    </row>
    <row r="96" spans="16:16" x14ac:dyDescent="0.3">
      <c r="P96"/>
    </row>
    <row r="97" spans="16:16" x14ac:dyDescent="0.3">
      <c r="P97"/>
    </row>
    <row r="98" spans="16:16" x14ac:dyDescent="0.3">
      <c r="P98"/>
    </row>
    <row r="99" spans="16:16" x14ac:dyDescent="0.3">
      <c r="P99"/>
    </row>
    <row r="100" spans="16:16" x14ac:dyDescent="0.3">
      <c r="P100"/>
    </row>
    <row r="101" spans="16:16" x14ac:dyDescent="0.3">
      <c r="P101"/>
    </row>
    <row r="102" spans="16:16" x14ac:dyDescent="0.3">
      <c r="P102"/>
    </row>
    <row r="103" spans="16:16" x14ac:dyDescent="0.3">
      <c r="P103"/>
    </row>
    <row r="104" spans="16:16" x14ac:dyDescent="0.3">
      <c r="P104"/>
    </row>
  </sheetData>
  <mergeCells count="3">
    <mergeCell ref="E3:O3"/>
    <mergeCell ref="E5:O5"/>
    <mergeCell ref="E4:O4"/>
  </mergeCells>
  <pageMargins left="0.7" right="0.7" top="0.75" bottom="0.75" header="0.3" footer="0.3"/>
  <pageSetup scale="58" orientation="landscape"/>
  <rowBreaks count="1" manualBreakCount="1">
    <brk id="88"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0"/>
  <sheetViews>
    <sheetView workbookViewId="0">
      <pane xSplit="3" ySplit="17" topLeftCell="D344" activePane="bottomRight" state="frozen"/>
      <selection pane="topRight" activeCell="D1" sqref="D1"/>
      <selection pane="bottomLeft" activeCell="A18" sqref="A18"/>
      <selection pane="bottomRight" activeCell="C388" sqref="C388"/>
    </sheetView>
  </sheetViews>
  <sheetFormatPr defaultColWidth="8.77734375" defaultRowHeight="14.4" outlineLevelRow="1"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5" t="str">
        <f>'B. Implementation Plan'!E3:O3</f>
        <v>Kentucky Preschool Program - Intermediate</v>
      </c>
      <c r="F3" s="776"/>
      <c r="G3" s="776"/>
      <c r="H3" s="776"/>
      <c r="I3" s="776"/>
      <c r="J3" s="776"/>
      <c r="K3" s="776"/>
      <c r="L3" s="776"/>
      <c r="M3" s="776"/>
      <c r="N3" s="776"/>
      <c r="O3" s="776"/>
      <c r="P3" s="538" t="str">
        <f>'B. Implementation Plan'!P3</f>
        <v>Kentucky Preschool Program - Intermediate</v>
      </c>
    </row>
    <row r="4" spans="1:16" s="31" customFormat="1" ht="18" x14ac:dyDescent="0.35">
      <c r="C4" s="32" t="s">
        <v>432</v>
      </c>
      <c r="D4"/>
      <c r="E4" s="775" t="str">
        <f>'B. Implementation Plan'!E4:O4</f>
        <v>na</v>
      </c>
      <c r="F4" s="776"/>
      <c r="G4" s="776"/>
      <c r="H4" s="776"/>
      <c r="I4" s="776"/>
      <c r="J4" s="776"/>
      <c r="K4" s="776"/>
      <c r="L4" s="776"/>
      <c r="M4" s="776"/>
      <c r="N4" s="776"/>
      <c r="O4" s="776"/>
      <c r="P4" s="539" t="str">
        <f>'B. Implementation Plan'!P4</f>
        <v>na</v>
      </c>
    </row>
    <row r="5" spans="1:16" s="31" customFormat="1" ht="18.600000000000001" thickBot="1" x14ac:dyDescent="0.4">
      <c r="C5" s="32" t="s">
        <v>17</v>
      </c>
      <c r="D5"/>
      <c r="E5" s="775" t="str">
        <f>'B. Implementation Plan'!E5:O5</f>
        <v>Kentucky, KY</v>
      </c>
      <c r="F5" s="776"/>
      <c r="G5" s="776"/>
      <c r="H5" s="776"/>
      <c r="I5" s="776"/>
      <c r="J5" s="776"/>
      <c r="K5" s="776"/>
      <c r="L5" s="776"/>
      <c r="M5" s="776"/>
      <c r="N5" s="776"/>
      <c r="O5" s="776"/>
      <c r="P5" s="540" t="str">
        <f>'B. Implementation Plan'!P5</f>
        <v>Kentucky, KY</v>
      </c>
    </row>
    <row r="7" spans="1:16" ht="15" thickBot="1" x14ac:dyDescent="0.35">
      <c r="A7" s="1"/>
      <c r="B7" s="1"/>
      <c r="D7" s="281"/>
      <c r="E7" s="242"/>
      <c r="F7" s="243"/>
      <c r="G7" s="243"/>
      <c r="H7" s="243"/>
      <c r="I7" s="243"/>
      <c r="J7" s="242" t="s">
        <v>59</v>
      </c>
      <c r="K7" s="243"/>
      <c r="L7" s="243"/>
      <c r="M7" s="243"/>
      <c r="N7" s="243"/>
      <c r="O7" s="244"/>
    </row>
    <row r="8" spans="1:16" x14ac:dyDescent="0.3">
      <c r="A8" s="1"/>
      <c r="B8" s="1"/>
      <c r="D8" s="282"/>
      <c r="E8" s="294">
        <v>0</v>
      </c>
      <c r="F8" s="294">
        <v>1</v>
      </c>
      <c r="G8" s="294">
        <v>2</v>
      </c>
      <c r="H8" s="294">
        <v>3</v>
      </c>
      <c r="I8" s="294">
        <v>4</v>
      </c>
      <c r="J8" s="294">
        <v>5</v>
      </c>
      <c r="K8" s="294">
        <v>6</v>
      </c>
      <c r="L8" s="294">
        <v>7</v>
      </c>
      <c r="M8" s="294">
        <v>8</v>
      </c>
      <c r="N8" s="294">
        <v>9</v>
      </c>
      <c r="O8" s="295">
        <v>10</v>
      </c>
      <c r="P8" s="709" t="s">
        <v>2</v>
      </c>
    </row>
    <row r="9" spans="1:16" ht="15.6" x14ac:dyDescent="0.3">
      <c r="A9" s="301" t="s">
        <v>1001</v>
      </c>
      <c r="B9" s="302"/>
      <c r="C9" s="297"/>
      <c r="D9" s="283"/>
      <c r="E9" s="710" t="str">
        <f ca="1">IF(E180&gt;0,E180,"")</f>
        <v/>
      </c>
      <c r="F9" s="710" t="str">
        <f t="shared" ref="F9:O9" ca="1" si="0">IF(F180&gt;0,F180,"")</f>
        <v/>
      </c>
      <c r="G9" s="710" t="str">
        <f t="shared" ca="1" si="0"/>
        <v/>
      </c>
      <c r="H9" s="710" t="str">
        <f t="shared" ca="1" si="0"/>
        <v/>
      </c>
      <c r="I9" s="710" t="str">
        <f t="shared" ca="1" si="0"/>
        <v/>
      </c>
      <c r="J9" s="710" t="str">
        <f t="shared" ca="1" si="0"/>
        <v/>
      </c>
      <c r="K9" s="710" t="str">
        <f t="shared" ca="1" si="0"/>
        <v/>
      </c>
      <c r="L9" s="710" t="str">
        <f t="shared" ca="1" si="0"/>
        <v/>
      </c>
      <c r="M9" s="710" t="str">
        <f t="shared" ca="1" si="0"/>
        <v/>
      </c>
      <c r="N9" s="710" t="str">
        <f t="shared" ca="1" si="0"/>
        <v/>
      </c>
      <c r="O9" s="710" t="str">
        <f t="shared" ca="1" si="0"/>
        <v/>
      </c>
      <c r="P9" s="745" t="str">
        <f t="shared" ref="P9:P17" ca="1" si="1">IF(ISNA(INDEX(E9:O9,MATCH(9.99999999999999E+307,E9:O9))),"",INDEX(E9:O9,MATCH(9.99999999999999E+307,E9:O9)))</f>
        <v/>
      </c>
    </row>
    <row r="10" spans="1:16" ht="15.6" x14ac:dyDescent="0.3">
      <c r="A10" s="711" t="s">
        <v>1002</v>
      </c>
      <c r="B10" s="302"/>
      <c r="C10" s="297"/>
      <c r="D10" s="283"/>
      <c r="E10" s="710" t="str">
        <f t="shared" ref="E10:O11" ca="1" si="2">IF(E181&gt;0,E181,"")</f>
        <v/>
      </c>
      <c r="F10" s="710" t="str">
        <f t="shared" ca="1" si="2"/>
        <v/>
      </c>
      <c r="G10" s="710" t="str">
        <f t="shared" ca="1" si="2"/>
        <v/>
      </c>
      <c r="H10" s="710" t="str">
        <f t="shared" ca="1" si="2"/>
        <v/>
      </c>
      <c r="I10" s="710" t="str">
        <f t="shared" ca="1" si="2"/>
        <v/>
      </c>
      <c r="J10" s="710" t="str">
        <f t="shared" ca="1" si="2"/>
        <v/>
      </c>
      <c r="K10" s="710" t="str">
        <f t="shared" ca="1" si="2"/>
        <v/>
      </c>
      <c r="L10" s="710" t="str">
        <f t="shared" ca="1" si="2"/>
        <v/>
      </c>
      <c r="M10" s="710" t="str">
        <f t="shared" ca="1" si="2"/>
        <v/>
      </c>
      <c r="N10" s="710" t="str">
        <f t="shared" ca="1" si="2"/>
        <v/>
      </c>
      <c r="O10" s="710" t="str">
        <f t="shared" ca="1" si="2"/>
        <v/>
      </c>
      <c r="P10" s="745" t="str">
        <f t="shared" ca="1" si="1"/>
        <v/>
      </c>
    </row>
    <row r="11" spans="1:16" ht="15.6" x14ac:dyDescent="0.3">
      <c r="A11" s="711" t="s">
        <v>1003</v>
      </c>
      <c r="B11" s="302"/>
      <c r="C11" s="297"/>
      <c r="D11" s="283"/>
      <c r="E11" s="710" t="str">
        <f t="shared" ca="1" si="2"/>
        <v/>
      </c>
      <c r="F11" s="710" t="str">
        <f t="shared" ca="1" si="2"/>
        <v/>
      </c>
      <c r="G11" s="710" t="str">
        <f t="shared" ca="1" si="2"/>
        <v/>
      </c>
      <c r="H11" s="710" t="str">
        <f t="shared" ca="1" si="2"/>
        <v/>
      </c>
      <c r="I11" s="710" t="str">
        <f t="shared" ca="1" si="2"/>
        <v/>
      </c>
      <c r="J11" s="710" t="str">
        <f t="shared" ca="1" si="2"/>
        <v/>
      </c>
      <c r="K11" s="710" t="str">
        <f t="shared" ca="1" si="2"/>
        <v/>
      </c>
      <c r="L11" s="710" t="str">
        <f t="shared" ca="1" si="2"/>
        <v/>
      </c>
      <c r="M11" s="710" t="str">
        <f t="shared" ca="1" si="2"/>
        <v/>
      </c>
      <c r="N11" s="710" t="str">
        <f t="shared" ca="1" si="2"/>
        <v/>
      </c>
      <c r="O11" s="710" t="str">
        <f t="shared" ca="1" si="2"/>
        <v/>
      </c>
      <c r="P11" s="745" t="str">
        <f t="shared" ca="1" si="1"/>
        <v/>
      </c>
    </row>
    <row r="12" spans="1:16" ht="15.6" x14ac:dyDescent="0.3">
      <c r="A12" s="301" t="s">
        <v>1004</v>
      </c>
      <c r="B12" s="302"/>
      <c r="C12" s="297"/>
      <c r="D12" s="283"/>
      <c r="E12" s="710">
        <f t="shared" ref="E12:O12" ca="1" si="3">IF(E344&gt;0,E344,"")</f>
        <v>5970.3928949212077</v>
      </c>
      <c r="F12" s="710">
        <f t="shared" ca="1" si="3"/>
        <v>6054.7931706993395</v>
      </c>
      <c r="G12" s="710">
        <f t="shared" ca="1" si="3"/>
        <v>6142.3332447637931</v>
      </c>
      <c r="H12" s="710">
        <f t="shared" ca="1" si="3"/>
        <v>6223.0688775523267</v>
      </c>
      <c r="I12" s="710">
        <f t="shared" ca="1" si="3"/>
        <v>6314.163230464801</v>
      </c>
      <c r="J12" s="710">
        <f t="shared" ca="1" si="3"/>
        <v>6405.8719085311004</v>
      </c>
      <c r="K12" s="710">
        <f t="shared" ca="1" si="3"/>
        <v>6497.2872652649867</v>
      </c>
      <c r="L12" s="710">
        <f t="shared" ca="1" si="3"/>
        <v>6591.8520284487304</v>
      </c>
      <c r="M12" s="710">
        <f t="shared" ca="1" si="3"/>
        <v>6688.623329031474</v>
      </c>
      <c r="N12" s="710">
        <f t="shared" ca="1" si="3"/>
        <v>6778.5030547766983</v>
      </c>
      <c r="O12" s="710">
        <f t="shared" ca="1" si="3"/>
        <v>6877.5881808930226</v>
      </c>
      <c r="P12" s="745">
        <f t="shared" ca="1" si="1"/>
        <v>6877.5881808930226</v>
      </c>
    </row>
    <row r="13" spans="1:16" ht="15.6" x14ac:dyDescent="0.3">
      <c r="A13" s="711" t="s">
        <v>1005</v>
      </c>
      <c r="B13" s="302"/>
      <c r="C13" s="297"/>
      <c r="D13" s="283"/>
      <c r="E13" s="710">
        <f t="shared" ref="E13:O14" ca="1" si="4">IF(E345&gt;0,E345,"")</f>
        <v>10639.732383974237</v>
      </c>
      <c r="F13" s="710">
        <f t="shared" ca="1" si="4"/>
        <v>10792.850341398682</v>
      </c>
      <c r="G13" s="710">
        <f t="shared" ca="1" si="4"/>
        <v>10941.944573189652</v>
      </c>
      <c r="H13" s="710">
        <f t="shared" ca="1" si="4"/>
        <v>11086.929118688653</v>
      </c>
      <c r="I13" s="710">
        <f t="shared" ca="1" si="4"/>
        <v>11247.370486330943</v>
      </c>
      <c r="J13" s="710">
        <f t="shared" ca="1" si="4"/>
        <v>11403.958485285513</v>
      </c>
      <c r="K13" s="710">
        <f t="shared" ca="1" si="4"/>
        <v>11569.074440014667</v>
      </c>
      <c r="L13" s="710">
        <f t="shared" ca="1" si="4"/>
        <v>11730.75885711141</v>
      </c>
      <c r="M13" s="710">
        <f t="shared" ca="1" si="4"/>
        <v>11901.174668830763</v>
      </c>
      <c r="N13" s="710">
        <f t="shared" ca="1" si="4"/>
        <v>12061.981391775464</v>
      </c>
      <c r="O13" s="710">
        <f t="shared" ca="1" si="4"/>
        <v>12231.727739716618</v>
      </c>
      <c r="P13" s="745">
        <f t="shared" ca="1" si="1"/>
        <v>12231.727739716618</v>
      </c>
    </row>
    <row r="14" spans="1:16" ht="15.6" x14ac:dyDescent="0.3">
      <c r="A14" s="711" t="s">
        <v>1006</v>
      </c>
      <c r="B14" s="302"/>
      <c r="C14" s="297"/>
      <c r="D14" s="283"/>
      <c r="E14" s="710" t="str">
        <f t="shared" ca="1" si="4"/>
        <v/>
      </c>
      <c r="F14" s="710" t="str">
        <f t="shared" ca="1" si="4"/>
        <v/>
      </c>
      <c r="G14" s="710" t="str">
        <f t="shared" ca="1" si="4"/>
        <v/>
      </c>
      <c r="H14" s="710" t="str">
        <f t="shared" ca="1" si="4"/>
        <v/>
      </c>
      <c r="I14" s="710" t="str">
        <f t="shared" ca="1" si="4"/>
        <v/>
      </c>
      <c r="J14" s="710" t="str">
        <f t="shared" ca="1" si="4"/>
        <v/>
      </c>
      <c r="K14" s="710" t="str">
        <f t="shared" ca="1" si="4"/>
        <v/>
      </c>
      <c r="L14" s="710" t="str">
        <f t="shared" ca="1" si="4"/>
        <v/>
      </c>
      <c r="M14" s="710" t="str">
        <f t="shared" ca="1" si="4"/>
        <v/>
      </c>
      <c r="N14" s="710" t="str">
        <f t="shared" ca="1" si="4"/>
        <v/>
      </c>
      <c r="O14" s="710" t="str">
        <f t="shared" ca="1" si="4"/>
        <v/>
      </c>
      <c r="P14" s="745" t="str">
        <f t="shared" ca="1" si="1"/>
        <v/>
      </c>
    </row>
    <row r="15" spans="1:16" ht="15.6" x14ac:dyDescent="0.3">
      <c r="A15" s="301" t="s">
        <v>1007</v>
      </c>
      <c r="B15" s="302"/>
      <c r="C15" s="297"/>
      <c r="D15" s="283"/>
      <c r="E15" s="710" t="str">
        <f t="shared" ref="E15:O15" ca="1" si="5">IF(E508&gt;0,E508,"")</f>
        <v/>
      </c>
      <c r="F15" s="710" t="str">
        <f t="shared" ca="1" si="5"/>
        <v/>
      </c>
      <c r="G15" s="710" t="str">
        <f t="shared" ca="1" si="5"/>
        <v/>
      </c>
      <c r="H15" s="710" t="str">
        <f t="shared" ca="1" si="5"/>
        <v/>
      </c>
      <c r="I15" s="710" t="str">
        <f t="shared" ca="1" si="5"/>
        <v/>
      </c>
      <c r="J15" s="710" t="str">
        <f t="shared" ca="1" si="5"/>
        <v/>
      </c>
      <c r="K15" s="710" t="str">
        <f t="shared" ca="1" si="5"/>
        <v/>
      </c>
      <c r="L15" s="710" t="str">
        <f t="shared" ca="1" si="5"/>
        <v/>
      </c>
      <c r="M15" s="710" t="str">
        <f t="shared" ca="1" si="5"/>
        <v/>
      </c>
      <c r="N15" s="710" t="str">
        <f t="shared" ca="1" si="5"/>
        <v/>
      </c>
      <c r="O15" s="710" t="str">
        <f t="shared" ca="1" si="5"/>
        <v/>
      </c>
      <c r="P15" s="745" t="str">
        <f t="shared" ca="1" si="1"/>
        <v/>
      </c>
    </row>
    <row r="16" spans="1:16" ht="15.6" x14ac:dyDescent="0.3">
      <c r="A16" s="711" t="s">
        <v>1008</v>
      </c>
      <c r="B16" s="302"/>
      <c r="C16" s="297"/>
      <c r="D16" s="283"/>
      <c r="E16" s="710" t="str">
        <f t="shared" ref="E16:O17" ca="1" si="6">IF(E509&gt;0,E509,"")</f>
        <v/>
      </c>
      <c r="F16" s="710" t="str">
        <f t="shared" ca="1" si="6"/>
        <v/>
      </c>
      <c r="G16" s="710" t="str">
        <f t="shared" ca="1" si="6"/>
        <v/>
      </c>
      <c r="H16" s="710" t="str">
        <f t="shared" ca="1" si="6"/>
        <v/>
      </c>
      <c r="I16" s="710" t="str">
        <f t="shared" ca="1" si="6"/>
        <v/>
      </c>
      <c r="J16" s="710" t="str">
        <f t="shared" ca="1" si="6"/>
        <v/>
      </c>
      <c r="K16" s="710" t="str">
        <f t="shared" ca="1" si="6"/>
        <v/>
      </c>
      <c r="L16" s="710" t="str">
        <f t="shared" ca="1" si="6"/>
        <v/>
      </c>
      <c r="M16" s="710" t="str">
        <f t="shared" ca="1" si="6"/>
        <v/>
      </c>
      <c r="N16" s="710" t="str">
        <f t="shared" ca="1" si="6"/>
        <v/>
      </c>
      <c r="O16" s="710" t="str">
        <f t="shared" ca="1" si="6"/>
        <v/>
      </c>
      <c r="P16" s="745" t="str">
        <f t="shared" ca="1" si="1"/>
        <v/>
      </c>
    </row>
    <row r="17" spans="1:16" ht="16.2" thickBot="1" x14ac:dyDescent="0.35">
      <c r="A17" s="711" t="s">
        <v>1009</v>
      </c>
      <c r="B17" s="302"/>
      <c r="C17" s="297"/>
      <c r="D17" s="283"/>
      <c r="E17" s="710" t="str">
        <f t="shared" ca="1" si="6"/>
        <v/>
      </c>
      <c r="F17" s="710" t="str">
        <f t="shared" ca="1" si="6"/>
        <v/>
      </c>
      <c r="G17" s="710" t="str">
        <f t="shared" ca="1" si="6"/>
        <v/>
      </c>
      <c r="H17" s="710" t="str">
        <f t="shared" ca="1" si="6"/>
        <v/>
      </c>
      <c r="I17" s="710" t="str">
        <f t="shared" ca="1" si="6"/>
        <v/>
      </c>
      <c r="J17" s="710" t="str">
        <f t="shared" ca="1" si="6"/>
        <v/>
      </c>
      <c r="K17" s="710" t="str">
        <f t="shared" ca="1" si="6"/>
        <v/>
      </c>
      <c r="L17" s="710" t="str">
        <f t="shared" ca="1" si="6"/>
        <v/>
      </c>
      <c r="M17" s="710" t="str">
        <f t="shared" ca="1" si="6"/>
        <v/>
      </c>
      <c r="N17" s="710" t="str">
        <f t="shared" ca="1" si="6"/>
        <v/>
      </c>
      <c r="O17" s="710" t="str">
        <f t="shared" ca="1" si="6"/>
        <v/>
      </c>
      <c r="P17" s="746" t="str">
        <f t="shared" ca="1" si="1"/>
        <v/>
      </c>
    </row>
    <row r="18" spans="1:16" ht="15" thickBot="1" x14ac:dyDescent="0.35"/>
    <row r="19" spans="1:16" s="365" customFormat="1" ht="14.55" customHeight="1" thickBot="1" x14ac:dyDescent="0.35">
      <c r="C19" s="409" t="s">
        <v>243</v>
      </c>
      <c r="E19" s="397">
        <f>'B. Implementation Plan'!E248</f>
        <v>1.6E-2</v>
      </c>
      <c r="P19" s="464">
        <f>'B. Implementation Plan'!P248</f>
        <v>1.6E-2</v>
      </c>
    </row>
    <row r="20" spans="1:16" s="365" customFormat="1" ht="14.55" customHeight="1" x14ac:dyDescent="0.3">
      <c r="C20" s="409"/>
      <c r="E20" s="430"/>
      <c r="P20" s="431"/>
    </row>
    <row r="21" spans="1:16" ht="18.600000000000001" thickBot="1" x14ac:dyDescent="0.4">
      <c r="A21" s="239" t="s">
        <v>743</v>
      </c>
      <c r="B21" s="240"/>
      <c r="C21" s="241"/>
    </row>
    <row r="22" spans="1:16" s="365" customFormat="1" ht="14.55" customHeight="1" x14ac:dyDescent="0.3">
      <c r="A22" s="1"/>
      <c r="B22" s="62"/>
      <c r="D22" s="394"/>
      <c r="E22" s="294">
        <v>0</v>
      </c>
      <c r="F22" s="294">
        <v>1</v>
      </c>
      <c r="G22" s="294">
        <v>2</v>
      </c>
      <c r="H22" s="294">
        <v>3</v>
      </c>
      <c r="I22" s="294">
        <v>4</v>
      </c>
      <c r="J22" s="294">
        <v>5</v>
      </c>
      <c r="K22" s="294">
        <v>6</v>
      </c>
      <c r="L22" s="294">
        <v>7</v>
      </c>
      <c r="M22" s="294">
        <v>8</v>
      </c>
      <c r="N22" s="294">
        <v>9</v>
      </c>
      <c r="O22" s="295">
        <v>10</v>
      </c>
      <c r="P22" s="481" t="s">
        <v>2</v>
      </c>
    </row>
    <row r="23" spans="1:16" s="365" customFormat="1" ht="14.55" hidden="1" customHeight="1" outlineLevel="1" x14ac:dyDescent="0.3">
      <c r="A23" s="1"/>
      <c r="B23" s="62"/>
      <c r="C23" s="433" t="s">
        <v>659</v>
      </c>
      <c r="D23" s="394"/>
      <c r="E23" s="347">
        <f ca="1">ROUND('D. Annual Schedule Tables'!E134*'B. Implementation Plan'!P41,0)</f>
        <v>0</v>
      </c>
      <c r="F23" s="347">
        <f ca="1">ROUND('D. Annual Schedule Tables'!F134*'B. Implementation Plan'!P41,0)</f>
        <v>0</v>
      </c>
      <c r="G23" s="347">
        <f ca="1">ROUND('D. Annual Schedule Tables'!G134*'B. Implementation Plan'!P41,0)</f>
        <v>0</v>
      </c>
      <c r="H23" s="347">
        <f ca="1">ROUND('D. Annual Schedule Tables'!H134*'B. Implementation Plan'!P41,0)</f>
        <v>0</v>
      </c>
      <c r="I23" s="347">
        <f ca="1">ROUND('D. Annual Schedule Tables'!I134*'B. Implementation Plan'!P41,0)</f>
        <v>0</v>
      </c>
      <c r="J23" s="347">
        <f ca="1">ROUND('D. Annual Schedule Tables'!J134*'B. Implementation Plan'!P41,0)</f>
        <v>0</v>
      </c>
      <c r="K23" s="347">
        <f ca="1">ROUND('D. Annual Schedule Tables'!K134*'B. Implementation Plan'!P41,0)</f>
        <v>0</v>
      </c>
      <c r="L23" s="347">
        <f ca="1">ROUND('D. Annual Schedule Tables'!L134*'B. Implementation Plan'!P41,0)</f>
        <v>0</v>
      </c>
      <c r="M23" s="347">
        <f ca="1">ROUND('D. Annual Schedule Tables'!M134*'B. Implementation Plan'!P41,0)</f>
        <v>0</v>
      </c>
      <c r="N23" s="347">
        <f ca="1">ROUND('D. Annual Schedule Tables'!N134*'B. Implementation Plan'!P41,0)</f>
        <v>0</v>
      </c>
      <c r="O23" s="347">
        <f ca="1">ROUND('D. Annual Schedule Tables'!O134*'B. Implementation Plan'!P41,0)</f>
        <v>0</v>
      </c>
      <c r="P23" s="434">
        <f t="shared" ref="P23:P69" ca="1" si="7">IF(O23=0,IF(N23=0,IF(M23=0,IF(L23=0,IF(K23=0,IF(J23=0,IF(I23=0,IF(H23=0,IF(G23=0,IF(F23=0,E23,F23),G23),H23),I23),J23),K23),L23),M23),N23),O23)</f>
        <v>0</v>
      </c>
    </row>
    <row r="24" spans="1:16" s="365" customFormat="1" ht="14.55" hidden="1" customHeight="1" outlineLevel="1" x14ac:dyDescent="0.3">
      <c r="A24" s="1"/>
      <c r="B24" s="62"/>
      <c r="C24" s="433" t="s">
        <v>660</v>
      </c>
      <c r="D24" s="394"/>
      <c r="E24" s="347">
        <f ca="1">E25-E23</f>
        <v>0</v>
      </c>
      <c r="F24" s="347">
        <f t="shared" ref="F24:O24" ca="1" si="8">F25-F23</f>
        <v>0</v>
      </c>
      <c r="G24" s="347">
        <f t="shared" ca="1" si="8"/>
        <v>0</v>
      </c>
      <c r="H24" s="347">
        <f t="shared" ca="1" si="8"/>
        <v>0</v>
      </c>
      <c r="I24" s="347">
        <f t="shared" ca="1" si="8"/>
        <v>0</v>
      </c>
      <c r="J24" s="347">
        <f t="shared" ca="1" si="8"/>
        <v>0</v>
      </c>
      <c r="K24" s="347">
        <f t="shared" ca="1" si="8"/>
        <v>0</v>
      </c>
      <c r="L24" s="347">
        <f t="shared" ca="1" si="8"/>
        <v>0</v>
      </c>
      <c r="M24" s="347">
        <f t="shared" ca="1" si="8"/>
        <v>0</v>
      </c>
      <c r="N24" s="347">
        <f t="shared" ca="1" si="8"/>
        <v>0</v>
      </c>
      <c r="O24" s="347">
        <f t="shared" ca="1" si="8"/>
        <v>0</v>
      </c>
      <c r="P24" s="434">
        <f t="shared" ca="1" si="7"/>
        <v>0</v>
      </c>
    </row>
    <row r="25" spans="1:16" s="1" customFormat="1" collapsed="1" x14ac:dyDescent="0.3">
      <c r="C25" s="1" t="s">
        <v>636</v>
      </c>
      <c r="E25" s="324">
        <f ca="1">'D. Annual Schedule Tables'!E134</f>
        <v>0</v>
      </c>
      <c r="F25" s="324">
        <f ca="1">'D. Annual Schedule Tables'!F134</f>
        <v>0</v>
      </c>
      <c r="G25" s="324">
        <f ca="1">'D. Annual Schedule Tables'!G134</f>
        <v>0</v>
      </c>
      <c r="H25" s="324">
        <f ca="1">'D. Annual Schedule Tables'!H134</f>
        <v>0</v>
      </c>
      <c r="I25" s="324">
        <f ca="1">'D. Annual Schedule Tables'!I134</f>
        <v>0</v>
      </c>
      <c r="J25" s="324">
        <f ca="1">'D. Annual Schedule Tables'!J134</f>
        <v>0</v>
      </c>
      <c r="K25" s="324">
        <f ca="1">'D. Annual Schedule Tables'!K134</f>
        <v>0</v>
      </c>
      <c r="L25" s="324">
        <f ca="1">'D. Annual Schedule Tables'!L134</f>
        <v>0</v>
      </c>
      <c r="M25" s="324">
        <f ca="1">'D. Annual Schedule Tables'!M134</f>
        <v>0</v>
      </c>
      <c r="N25" s="324">
        <f ca="1">'D. Annual Schedule Tables'!N134</f>
        <v>0</v>
      </c>
      <c r="O25" s="324">
        <f ca="1">'D. Annual Schedule Tables'!O134</f>
        <v>0</v>
      </c>
      <c r="P25" s="435">
        <f ca="1">IF(O25=0,IF(N25=0,IF(M25=0,IF(L25=0,IF(K25=0,IF(J25=0,IF(I25=0,IF(H25=0,IF(G25=0,IF(F25=0,E25,F25),G25),H25),I25),J25),K25),L25),M25),N25),O25)</f>
        <v>0</v>
      </c>
    </row>
    <row r="26" spans="1:16" s="365" customFormat="1" ht="14.55" hidden="1" customHeight="1" outlineLevel="1" x14ac:dyDescent="0.3">
      <c r="A26" s="1"/>
      <c r="B26" s="62"/>
      <c r="C26" s="396" t="s">
        <v>662</v>
      </c>
      <c r="D26" s="394"/>
      <c r="E26" s="15">
        <f ca="1">IFERROR('D. Annual Schedule Tables'!E28/E25,0)</f>
        <v>0</v>
      </c>
      <c r="F26" s="15">
        <f ca="1">IFERROR('D. Annual Schedule Tables'!F28/F25,0)</f>
        <v>0</v>
      </c>
      <c r="G26" s="15">
        <f ca="1">IFERROR('D. Annual Schedule Tables'!G28/G25,0)</f>
        <v>0</v>
      </c>
      <c r="H26" s="15">
        <f ca="1">IFERROR('D. Annual Schedule Tables'!H28/H25,0)</f>
        <v>0</v>
      </c>
      <c r="I26" s="15">
        <f ca="1">IFERROR('D. Annual Schedule Tables'!I28/I25,0)</f>
        <v>0</v>
      </c>
      <c r="J26" s="15">
        <f ca="1">IFERROR('D. Annual Schedule Tables'!J28/J25,0)</f>
        <v>0</v>
      </c>
      <c r="K26" s="15">
        <f ca="1">IFERROR('D. Annual Schedule Tables'!K28/K25,0)</f>
        <v>0</v>
      </c>
      <c r="L26" s="15">
        <f ca="1">IFERROR('D. Annual Schedule Tables'!L28/L25,0)</f>
        <v>0</v>
      </c>
      <c r="M26" s="15">
        <f ca="1">IFERROR('D. Annual Schedule Tables'!M28/M25,0)</f>
        <v>0</v>
      </c>
      <c r="N26" s="15">
        <f ca="1">IFERROR('D. Annual Schedule Tables'!N28/N25,0)</f>
        <v>0</v>
      </c>
      <c r="O26" s="15">
        <f ca="1">IFERROR('D. Annual Schedule Tables'!O28/O25,0)</f>
        <v>0</v>
      </c>
      <c r="P26" s="434">
        <f t="shared" ca="1" si="7"/>
        <v>0</v>
      </c>
    </row>
    <row r="27" spans="1:16" s="365" customFormat="1" ht="14.55" hidden="1" customHeight="1" outlineLevel="1" x14ac:dyDescent="0.3">
      <c r="A27" s="1"/>
      <c r="B27" s="62"/>
      <c r="C27" s="396" t="s">
        <v>663</v>
      </c>
      <c r="D27" s="394"/>
      <c r="E27" s="15">
        <f ca="1">IFERROR('D. Annual Schedule Tables'!E35/E25,0)</f>
        <v>0</v>
      </c>
      <c r="F27" s="15">
        <f ca="1">IFERROR('D. Annual Schedule Tables'!F35/F25,0)</f>
        <v>0</v>
      </c>
      <c r="G27" s="15">
        <f ca="1">IFERROR('D. Annual Schedule Tables'!G35/G25,0)</f>
        <v>0</v>
      </c>
      <c r="H27" s="15">
        <f ca="1">IFERROR('D. Annual Schedule Tables'!H35/H25,0)</f>
        <v>0</v>
      </c>
      <c r="I27" s="15">
        <f ca="1">IFERROR('D. Annual Schedule Tables'!I35/I25,0)</f>
        <v>0</v>
      </c>
      <c r="J27" s="15">
        <f ca="1">IFERROR('D. Annual Schedule Tables'!J35/J25,0)</f>
        <v>0</v>
      </c>
      <c r="K27" s="15">
        <f ca="1">IFERROR('D. Annual Schedule Tables'!K35/K25,0)</f>
        <v>0</v>
      </c>
      <c r="L27" s="15">
        <f ca="1">IFERROR('D. Annual Schedule Tables'!L35/L25,0)</f>
        <v>0</v>
      </c>
      <c r="M27" s="15">
        <f ca="1">IFERROR('D. Annual Schedule Tables'!M35/M25,0)</f>
        <v>0</v>
      </c>
      <c r="N27" s="15">
        <f ca="1">IFERROR('D. Annual Schedule Tables'!N35/N25,0)</f>
        <v>0</v>
      </c>
      <c r="O27" s="15">
        <f ca="1">IFERROR('D. Annual Schedule Tables'!O35/O25,0)</f>
        <v>0</v>
      </c>
      <c r="P27" s="434">
        <f t="shared" ca="1" si="7"/>
        <v>0</v>
      </c>
    </row>
    <row r="28" spans="1:16" s="365" customFormat="1" ht="14.55" hidden="1" customHeight="1" outlineLevel="1" x14ac:dyDescent="0.3">
      <c r="A28" s="1"/>
      <c r="B28" s="62"/>
      <c r="C28" s="420" t="s">
        <v>664</v>
      </c>
      <c r="D28" s="394"/>
      <c r="E28" s="15">
        <f ca="1">IFERROR('D. Annual Schedule Tables'!E42/E25,0)</f>
        <v>0</v>
      </c>
      <c r="F28" s="15">
        <f ca="1">IFERROR('D. Annual Schedule Tables'!F42/F25,0)</f>
        <v>0</v>
      </c>
      <c r="G28" s="15">
        <f ca="1">IFERROR('D. Annual Schedule Tables'!G42/G25,0)</f>
        <v>0</v>
      </c>
      <c r="H28" s="15">
        <f ca="1">IFERROR('D. Annual Schedule Tables'!H42/H25,0)</f>
        <v>0</v>
      </c>
      <c r="I28" s="15">
        <f ca="1">IFERROR('D. Annual Schedule Tables'!I42/I25,0)</f>
        <v>0</v>
      </c>
      <c r="J28" s="15">
        <f ca="1">IFERROR('D. Annual Schedule Tables'!J42/J25,0)</f>
        <v>0</v>
      </c>
      <c r="K28" s="15">
        <f ca="1">IFERROR('D. Annual Schedule Tables'!K42/K25,0)</f>
        <v>0</v>
      </c>
      <c r="L28" s="15">
        <f ca="1">IFERROR('D. Annual Schedule Tables'!L42/L25,0)</f>
        <v>0</v>
      </c>
      <c r="M28" s="15">
        <f ca="1">IFERROR('D. Annual Schedule Tables'!M42/M25,0)</f>
        <v>0</v>
      </c>
      <c r="N28" s="15">
        <f ca="1">IFERROR('D. Annual Schedule Tables'!N42/N25,0)</f>
        <v>0</v>
      </c>
      <c r="O28" s="15">
        <f ca="1">IFERROR('D. Annual Schedule Tables'!O42/O25,0)</f>
        <v>0</v>
      </c>
      <c r="P28" s="434">
        <f t="shared" ca="1" si="7"/>
        <v>0</v>
      </c>
    </row>
    <row r="29" spans="1:16" s="1" customFormat="1" ht="14.55" customHeight="1" collapsed="1" x14ac:dyDescent="0.3">
      <c r="B29" s="62"/>
      <c r="C29" s="1" t="s">
        <v>665</v>
      </c>
      <c r="D29" s="394"/>
      <c r="E29" s="324">
        <f ca="1">IFERROR('D. Annual Schedule Tables'!E11/E25,0)</f>
        <v>0</v>
      </c>
      <c r="F29" s="324">
        <f ca="1">IFERROR('D. Annual Schedule Tables'!F11/F25,0)</f>
        <v>0</v>
      </c>
      <c r="G29" s="324">
        <f ca="1">IFERROR('D. Annual Schedule Tables'!G11/G25,0)</f>
        <v>0</v>
      </c>
      <c r="H29" s="324">
        <f ca="1">IFERROR('D. Annual Schedule Tables'!H11/H25,0)</f>
        <v>0</v>
      </c>
      <c r="I29" s="324">
        <f ca="1">IFERROR('D. Annual Schedule Tables'!I11/I25,0)</f>
        <v>0</v>
      </c>
      <c r="J29" s="324">
        <f ca="1">IFERROR('D. Annual Schedule Tables'!J11/J25,0)</f>
        <v>0</v>
      </c>
      <c r="K29" s="324">
        <f ca="1">IFERROR('D. Annual Schedule Tables'!K11/K25,0)</f>
        <v>0</v>
      </c>
      <c r="L29" s="324">
        <f ca="1">IFERROR('D. Annual Schedule Tables'!L11/L25,0)</f>
        <v>0</v>
      </c>
      <c r="M29" s="324">
        <f ca="1">IFERROR('D. Annual Schedule Tables'!M11/M25,0)</f>
        <v>0</v>
      </c>
      <c r="N29" s="324">
        <f ca="1">IFERROR('D. Annual Schedule Tables'!N11/N25,0)</f>
        <v>0</v>
      </c>
      <c r="O29" s="324">
        <f ca="1">IFERROR('D. Annual Schedule Tables'!O11/O25,0)</f>
        <v>0</v>
      </c>
      <c r="P29" s="435">
        <f t="shared" ca="1" si="7"/>
        <v>0</v>
      </c>
    </row>
    <row r="30" spans="1:16" s="1" customFormat="1" ht="14.55" hidden="1" customHeight="1" outlineLevel="1" x14ac:dyDescent="0.3">
      <c r="B30" s="62"/>
      <c r="C30" s="396" t="s">
        <v>748</v>
      </c>
      <c r="D30" s="394"/>
      <c r="E30" s="507">
        <f ca="1">IFERROR('D. Annual Schedule Tables'!E77/E25,0)</f>
        <v>0</v>
      </c>
      <c r="F30" s="507">
        <f ca="1">IFERROR('D. Annual Schedule Tables'!F77/F25,0)</f>
        <v>0</v>
      </c>
      <c r="G30" s="507">
        <f ca="1">IFERROR('D. Annual Schedule Tables'!G77/G25,0)</f>
        <v>0</v>
      </c>
      <c r="H30" s="507">
        <f ca="1">IFERROR('D. Annual Schedule Tables'!H77/H25,0)</f>
        <v>0</v>
      </c>
      <c r="I30" s="507">
        <f ca="1">IFERROR('D. Annual Schedule Tables'!I77/I25,0)</f>
        <v>0</v>
      </c>
      <c r="J30" s="507">
        <f ca="1">IFERROR('D. Annual Schedule Tables'!J77/J25,0)</f>
        <v>0</v>
      </c>
      <c r="K30" s="507">
        <f ca="1">IFERROR('D. Annual Schedule Tables'!K77/K25,0)</f>
        <v>0</v>
      </c>
      <c r="L30" s="507">
        <f ca="1">IFERROR('D. Annual Schedule Tables'!L77/L25,0)</f>
        <v>0</v>
      </c>
      <c r="M30" s="507">
        <f ca="1">IFERROR('D. Annual Schedule Tables'!M77/M25,0)</f>
        <v>0</v>
      </c>
      <c r="N30" s="507">
        <f ca="1">IFERROR('D. Annual Schedule Tables'!N77/N25,0)</f>
        <v>0</v>
      </c>
      <c r="O30" s="507">
        <f ca="1">IFERROR('D. Annual Schedule Tables'!O77/O25,0)</f>
        <v>0</v>
      </c>
      <c r="P30" s="474">
        <f ca="1">IF(O30=0,IF(N30=0,IF(M30=0,IF(L30=0,IF(K30=0,IF(J30=0,IF(I30=0,IF(H30=0,IF(G30=0,IF(F30=0,E30,F30),G30),H30),I30),J30),K30),L30),M30),N30),O30)</f>
        <v>0</v>
      </c>
    </row>
    <row r="31" spans="1:16" s="1" customFormat="1" ht="14.55" hidden="1" customHeight="1" outlineLevel="1" x14ac:dyDescent="0.3">
      <c r="B31" s="62"/>
      <c r="C31" s="396" t="s">
        <v>749</v>
      </c>
      <c r="D31" s="394"/>
      <c r="E31" s="507">
        <f ca="1">IFERROR('D. Annual Schedule Tables'!E78/E25,0)</f>
        <v>0</v>
      </c>
      <c r="F31" s="507">
        <f ca="1">IFERROR('D. Annual Schedule Tables'!F78/F25,0)</f>
        <v>0</v>
      </c>
      <c r="G31" s="507">
        <f ca="1">IFERROR('D. Annual Schedule Tables'!G78/G25,0)</f>
        <v>0</v>
      </c>
      <c r="H31" s="507">
        <f ca="1">IFERROR('D. Annual Schedule Tables'!H78/H25,0)</f>
        <v>0</v>
      </c>
      <c r="I31" s="507">
        <f ca="1">IFERROR('D. Annual Schedule Tables'!I78/I25,0)</f>
        <v>0</v>
      </c>
      <c r="J31" s="507">
        <f ca="1">IFERROR('D. Annual Schedule Tables'!J78/J25,0)</f>
        <v>0</v>
      </c>
      <c r="K31" s="507">
        <f ca="1">IFERROR('D. Annual Schedule Tables'!K78/K25,0)</f>
        <v>0</v>
      </c>
      <c r="L31" s="507">
        <f ca="1">IFERROR('D. Annual Schedule Tables'!L78/L25,0)</f>
        <v>0</v>
      </c>
      <c r="M31" s="507">
        <f ca="1">IFERROR('D. Annual Schedule Tables'!M78/M25,0)</f>
        <v>0</v>
      </c>
      <c r="N31" s="507">
        <f ca="1">IFERROR('D. Annual Schedule Tables'!N78/N25,0)</f>
        <v>0</v>
      </c>
      <c r="O31" s="507">
        <f ca="1">IFERROR('D. Annual Schedule Tables'!O78/O25,0)</f>
        <v>0</v>
      </c>
      <c r="P31" s="474">
        <f ca="1">IF(O31=0,IF(N31=0,IF(M31=0,IF(L31=0,IF(K31=0,IF(J31=0,IF(I31=0,IF(H31=0,IF(G31=0,IF(F31=0,E31,F31),G31),H31),I31),J31),K31),L31),M31),N31),O31)</f>
        <v>0</v>
      </c>
    </row>
    <row r="32" spans="1:16" s="1" customFormat="1" ht="14.55" hidden="1" customHeight="1" outlineLevel="1" x14ac:dyDescent="0.3">
      <c r="B32" s="62"/>
      <c r="C32" s="396" t="s">
        <v>750</v>
      </c>
      <c r="D32" s="394"/>
      <c r="E32" s="507">
        <f ca="1">IFERROR('D. Annual Schedule Tables'!E79/E25,0)</f>
        <v>0</v>
      </c>
      <c r="F32" s="507">
        <f ca="1">IFERROR('D. Annual Schedule Tables'!F79/F25,0)</f>
        <v>0</v>
      </c>
      <c r="G32" s="507">
        <f ca="1">IFERROR('D. Annual Schedule Tables'!G79/G25,0)</f>
        <v>0</v>
      </c>
      <c r="H32" s="507">
        <f ca="1">IFERROR('D. Annual Schedule Tables'!H79/H25,0)</f>
        <v>0</v>
      </c>
      <c r="I32" s="507">
        <f ca="1">IFERROR('D. Annual Schedule Tables'!I79/I25,0)</f>
        <v>0</v>
      </c>
      <c r="J32" s="507">
        <f ca="1">IFERROR('D. Annual Schedule Tables'!J79/J25,0)</f>
        <v>0</v>
      </c>
      <c r="K32" s="507">
        <f ca="1">IFERROR('D. Annual Schedule Tables'!K79/K25,0)</f>
        <v>0</v>
      </c>
      <c r="L32" s="507">
        <f ca="1">IFERROR('D. Annual Schedule Tables'!L79/L25,0)</f>
        <v>0</v>
      </c>
      <c r="M32" s="507">
        <f ca="1">IFERROR('D. Annual Schedule Tables'!M79/M25,0)</f>
        <v>0</v>
      </c>
      <c r="N32" s="507">
        <f ca="1">IFERROR('D. Annual Schedule Tables'!N79/N25,0)</f>
        <v>0</v>
      </c>
      <c r="O32" s="507">
        <f ca="1">IFERROR('D. Annual Schedule Tables'!O79/O25,0)</f>
        <v>0</v>
      </c>
      <c r="P32" s="474">
        <f ca="1">IF(O32=0,IF(N32=0,IF(M32=0,IF(L32=0,IF(K32=0,IF(J32=0,IF(I32=0,IF(H32=0,IF(G32=0,IF(F32=0,E32,F32),G32),H32),I32),J32),K32),L32),M32),N32),O32)</f>
        <v>0</v>
      </c>
    </row>
    <row r="33" spans="3:16" s="1" customFormat="1" collapsed="1" x14ac:dyDescent="0.3">
      <c r="C33" s="1" t="s">
        <v>661</v>
      </c>
      <c r="E33" s="506">
        <f ca="1">IFERROR('D. Annual Schedule Tables'!E80/E25,0)</f>
        <v>0</v>
      </c>
      <c r="F33" s="506">
        <f ca="1">IFERROR('D. Annual Schedule Tables'!F80/F25,0)</f>
        <v>0</v>
      </c>
      <c r="G33" s="506">
        <f ca="1">IFERROR('D. Annual Schedule Tables'!G80/G25,0)</f>
        <v>0</v>
      </c>
      <c r="H33" s="506">
        <f ca="1">IFERROR('D. Annual Schedule Tables'!H80/H25,0)</f>
        <v>0</v>
      </c>
      <c r="I33" s="506">
        <f ca="1">IFERROR('D. Annual Schedule Tables'!I80/I25,0)</f>
        <v>0</v>
      </c>
      <c r="J33" s="506">
        <f ca="1">IFERROR('D. Annual Schedule Tables'!J80/J25,0)</f>
        <v>0</v>
      </c>
      <c r="K33" s="506">
        <f ca="1">IFERROR('D. Annual Schedule Tables'!K80/K25,0)</f>
        <v>0</v>
      </c>
      <c r="L33" s="506">
        <f ca="1">IFERROR('D. Annual Schedule Tables'!L80/L25,0)</f>
        <v>0</v>
      </c>
      <c r="M33" s="506">
        <f ca="1">IFERROR('D. Annual Schedule Tables'!M80/M25,0)</f>
        <v>0</v>
      </c>
      <c r="N33" s="506">
        <f ca="1">IFERROR('D. Annual Schedule Tables'!N80/N25,0)</f>
        <v>0</v>
      </c>
      <c r="O33" s="506">
        <f ca="1">IFERROR('D. Annual Schedule Tables'!O80/O25,0)</f>
        <v>0</v>
      </c>
      <c r="P33" s="474">
        <f t="shared" ca="1" si="7"/>
        <v>0</v>
      </c>
    </row>
    <row r="34" spans="3:16" hidden="1" outlineLevel="1" x14ac:dyDescent="0.3">
      <c r="C34" s="396" t="s">
        <v>666</v>
      </c>
      <c r="E34" s="327">
        <f ca="1">IFERROR('D. Annual Schedule Tables'!E58/E25,0)</f>
        <v>0</v>
      </c>
      <c r="F34" s="327">
        <f ca="1">IFERROR('D. Annual Schedule Tables'!F58/F25,0)</f>
        <v>0</v>
      </c>
      <c r="G34" s="327">
        <f ca="1">IFERROR('D. Annual Schedule Tables'!G58/G25,0)</f>
        <v>0</v>
      </c>
      <c r="H34" s="327">
        <f ca="1">IFERROR('D. Annual Schedule Tables'!H58/H25,0)</f>
        <v>0</v>
      </c>
      <c r="I34" s="327">
        <f ca="1">IFERROR('D. Annual Schedule Tables'!I58/I25,0)</f>
        <v>0</v>
      </c>
      <c r="J34" s="327">
        <f ca="1">IFERROR('D. Annual Schedule Tables'!J58/J25,0)</f>
        <v>0</v>
      </c>
      <c r="K34" s="327">
        <f ca="1">IFERROR('D. Annual Schedule Tables'!K58/K25,0)</f>
        <v>0</v>
      </c>
      <c r="L34" s="327">
        <f ca="1">IFERROR('D. Annual Schedule Tables'!L58/L25,0)</f>
        <v>0</v>
      </c>
      <c r="M34" s="327">
        <f ca="1">IFERROR('D. Annual Schedule Tables'!M58/M25,0)</f>
        <v>0</v>
      </c>
      <c r="N34" s="327">
        <f ca="1">IFERROR('D. Annual Schedule Tables'!N58/N25,0)</f>
        <v>0</v>
      </c>
      <c r="O34" s="327">
        <f ca="1">IFERROR('D. Annual Schedule Tables'!O58/O25,0)</f>
        <v>0</v>
      </c>
      <c r="P34" s="467">
        <f t="shared" ca="1" si="7"/>
        <v>0</v>
      </c>
    </row>
    <row r="35" spans="3:16" hidden="1" outlineLevel="1" x14ac:dyDescent="0.3">
      <c r="C35" s="396" t="s">
        <v>667</v>
      </c>
      <c r="E35" s="327">
        <f ca="1">IFERROR('D. Annual Schedule Tables'!E59/E25,0)</f>
        <v>0</v>
      </c>
      <c r="F35" s="327">
        <f ca="1">IFERROR('D. Annual Schedule Tables'!F59/F25,0)</f>
        <v>0</v>
      </c>
      <c r="G35" s="327">
        <f ca="1">IFERROR('D. Annual Schedule Tables'!G59/G25,0)</f>
        <v>0</v>
      </c>
      <c r="H35" s="327">
        <f ca="1">IFERROR('D. Annual Schedule Tables'!H59/H25,0)</f>
        <v>0</v>
      </c>
      <c r="I35" s="327">
        <f ca="1">IFERROR('D. Annual Schedule Tables'!I59/I25,0)</f>
        <v>0</v>
      </c>
      <c r="J35" s="327">
        <f ca="1">IFERROR('D. Annual Schedule Tables'!J59/J25,0)</f>
        <v>0</v>
      </c>
      <c r="K35" s="327">
        <f ca="1">IFERROR('D. Annual Schedule Tables'!K59/K25,0)</f>
        <v>0</v>
      </c>
      <c r="L35" s="327">
        <f ca="1">IFERROR('D. Annual Schedule Tables'!L59/L25,0)</f>
        <v>0</v>
      </c>
      <c r="M35" s="327">
        <f ca="1">IFERROR('D. Annual Schedule Tables'!M59/M25,0)</f>
        <v>0</v>
      </c>
      <c r="N35" s="327">
        <f ca="1">IFERROR('D. Annual Schedule Tables'!N59/N25,0)</f>
        <v>0</v>
      </c>
      <c r="O35" s="327">
        <f ca="1">IFERROR('D. Annual Schedule Tables'!O59/O25,0)</f>
        <v>0</v>
      </c>
      <c r="P35" s="467">
        <f t="shared" ca="1" si="7"/>
        <v>0</v>
      </c>
    </row>
    <row r="36" spans="3:16" hidden="1" outlineLevel="1" x14ac:dyDescent="0.3">
      <c r="C36" s="396" t="s">
        <v>668</v>
      </c>
      <c r="E36" s="327">
        <f ca="1">IFERROR('D. Annual Schedule Tables'!E60/E25,0)</f>
        <v>0</v>
      </c>
      <c r="F36" s="327">
        <f ca="1">IFERROR('D. Annual Schedule Tables'!F60/F25,0)</f>
        <v>0</v>
      </c>
      <c r="G36" s="327">
        <f ca="1">IFERROR('D. Annual Schedule Tables'!G60/G25,0)</f>
        <v>0</v>
      </c>
      <c r="H36" s="327">
        <f ca="1">IFERROR('D. Annual Schedule Tables'!H60/H25,0)</f>
        <v>0</v>
      </c>
      <c r="I36" s="327">
        <f ca="1">IFERROR('D. Annual Schedule Tables'!I60/I25,0)</f>
        <v>0</v>
      </c>
      <c r="J36" s="327">
        <f ca="1">IFERROR('D. Annual Schedule Tables'!J60/J25,0)</f>
        <v>0</v>
      </c>
      <c r="K36" s="327">
        <f ca="1">IFERROR('D. Annual Schedule Tables'!K60/K25,0)</f>
        <v>0</v>
      </c>
      <c r="L36" s="327">
        <f ca="1">IFERROR('D. Annual Schedule Tables'!L60/L25,0)</f>
        <v>0</v>
      </c>
      <c r="M36" s="327">
        <f ca="1">IFERROR('D. Annual Schedule Tables'!M60/M25,0)</f>
        <v>0</v>
      </c>
      <c r="N36" s="327">
        <f ca="1">IFERROR('D. Annual Schedule Tables'!N60/N25,0)</f>
        <v>0</v>
      </c>
      <c r="O36" s="327">
        <f ca="1">IFERROR('D. Annual Schedule Tables'!O60/O25,0)</f>
        <v>0</v>
      </c>
      <c r="P36" s="467">
        <f t="shared" ca="1" si="7"/>
        <v>0</v>
      </c>
    </row>
    <row r="37" spans="3:16" s="1" customFormat="1" collapsed="1" x14ac:dyDescent="0.3">
      <c r="C37" s="409" t="s">
        <v>669</v>
      </c>
      <c r="E37" s="506">
        <f ca="1">IFERROR('D. Annual Schedule Tables'!E61/E25,0)</f>
        <v>0</v>
      </c>
      <c r="F37" s="506">
        <f ca="1">IFERROR('D. Annual Schedule Tables'!F61/F25,0)</f>
        <v>0</v>
      </c>
      <c r="G37" s="506">
        <f ca="1">IFERROR('D. Annual Schedule Tables'!G61/G25,0)</f>
        <v>0</v>
      </c>
      <c r="H37" s="506">
        <f ca="1">IFERROR('D. Annual Schedule Tables'!H61/H25,0)</f>
        <v>0</v>
      </c>
      <c r="I37" s="506">
        <f ca="1">IFERROR('D. Annual Schedule Tables'!I61/I25,0)</f>
        <v>0</v>
      </c>
      <c r="J37" s="506">
        <f ca="1">IFERROR('D. Annual Schedule Tables'!J61/J25,0)</f>
        <v>0</v>
      </c>
      <c r="K37" s="506">
        <f ca="1">IFERROR('D. Annual Schedule Tables'!K61/K25,0)</f>
        <v>0</v>
      </c>
      <c r="L37" s="506">
        <f ca="1">IFERROR('D. Annual Schedule Tables'!L61/L25,0)</f>
        <v>0</v>
      </c>
      <c r="M37" s="506">
        <f ca="1">IFERROR('D. Annual Schedule Tables'!M61/M25,0)</f>
        <v>0</v>
      </c>
      <c r="N37" s="506">
        <f ca="1">IFERROR('D. Annual Schedule Tables'!N61/N25,0)</f>
        <v>0</v>
      </c>
      <c r="O37" s="506">
        <f ca="1">IFERROR('D. Annual Schedule Tables'!O61/O25,0)</f>
        <v>0</v>
      </c>
      <c r="P37" s="474">
        <f t="shared" ca="1" si="7"/>
        <v>0</v>
      </c>
    </row>
    <row r="38" spans="3:16" s="1" customFormat="1" hidden="1" outlineLevel="1" x14ac:dyDescent="0.3">
      <c r="C38" s="433" t="s">
        <v>725</v>
      </c>
      <c r="E38" s="507">
        <f ca="1">IFERROR('D. Annual Schedule Tables'!E96/E25,0)</f>
        <v>0</v>
      </c>
      <c r="F38" s="507">
        <f ca="1">IFERROR('D. Annual Schedule Tables'!F96/F25,0)</f>
        <v>0</v>
      </c>
      <c r="G38" s="507">
        <f ca="1">IFERROR('D. Annual Schedule Tables'!G96/G25,0)</f>
        <v>0</v>
      </c>
      <c r="H38" s="507">
        <f ca="1">IFERROR('D. Annual Schedule Tables'!H96/H25,0)</f>
        <v>0</v>
      </c>
      <c r="I38" s="507">
        <f ca="1">IFERROR('D. Annual Schedule Tables'!I96/I25,0)</f>
        <v>0</v>
      </c>
      <c r="J38" s="507">
        <f ca="1">IFERROR('D. Annual Schedule Tables'!J96/J25,0)</f>
        <v>0</v>
      </c>
      <c r="K38" s="507">
        <f ca="1">IFERROR('D. Annual Schedule Tables'!K96/K25,0)</f>
        <v>0</v>
      </c>
      <c r="L38" s="507">
        <f ca="1">IFERROR('D. Annual Schedule Tables'!L96/L25,0)</f>
        <v>0</v>
      </c>
      <c r="M38" s="507">
        <f ca="1">IFERROR('D. Annual Schedule Tables'!M96/M25,0)</f>
        <v>0</v>
      </c>
      <c r="N38" s="507">
        <f ca="1">IFERROR('D. Annual Schedule Tables'!N96/N25,0)</f>
        <v>0</v>
      </c>
      <c r="O38" s="507">
        <f ca="1">IFERROR('D. Annual Schedule Tables'!O96/O25,0)</f>
        <v>0</v>
      </c>
      <c r="P38" s="467">
        <f t="shared" ca="1" si="7"/>
        <v>0</v>
      </c>
    </row>
    <row r="39" spans="3:16" s="1" customFormat="1" hidden="1" outlineLevel="1" x14ac:dyDescent="0.3">
      <c r="C39" s="433" t="s">
        <v>670</v>
      </c>
      <c r="E39" s="507">
        <f ca="1">IFERROR('D. Annual Schedule Tables'!E97/E25,0)</f>
        <v>0</v>
      </c>
      <c r="F39" s="507">
        <f ca="1">IFERROR('D. Annual Schedule Tables'!F97/F25,0)</f>
        <v>0</v>
      </c>
      <c r="G39" s="507">
        <f ca="1">IFERROR('D. Annual Schedule Tables'!G97/G25,0)</f>
        <v>0</v>
      </c>
      <c r="H39" s="507">
        <f ca="1">IFERROR('D. Annual Schedule Tables'!H97/H25,0)</f>
        <v>0</v>
      </c>
      <c r="I39" s="507">
        <f ca="1">IFERROR('D. Annual Schedule Tables'!I97/I25,0)</f>
        <v>0</v>
      </c>
      <c r="J39" s="507">
        <f ca="1">IFERROR('D. Annual Schedule Tables'!J97/J25,0)</f>
        <v>0</v>
      </c>
      <c r="K39" s="507">
        <f ca="1">IFERROR('D. Annual Schedule Tables'!K97/K25,0)</f>
        <v>0</v>
      </c>
      <c r="L39" s="507">
        <f ca="1">IFERROR('D. Annual Schedule Tables'!L97/L25,0)</f>
        <v>0</v>
      </c>
      <c r="M39" s="507">
        <f ca="1">IFERROR('D. Annual Schedule Tables'!M97/M25,0)</f>
        <v>0</v>
      </c>
      <c r="N39" s="507">
        <f ca="1">IFERROR('D. Annual Schedule Tables'!N97/N25,0)</f>
        <v>0</v>
      </c>
      <c r="O39" s="507">
        <f ca="1">IFERROR('D. Annual Schedule Tables'!O97/O25,0)</f>
        <v>0</v>
      </c>
      <c r="P39" s="467">
        <f t="shared" ca="1" si="7"/>
        <v>0</v>
      </c>
    </row>
    <row r="40" spans="3:16" s="1" customFormat="1" hidden="1" outlineLevel="1" x14ac:dyDescent="0.3">
      <c r="C40" s="433" t="s">
        <v>671</v>
      </c>
      <c r="E40" s="347">
        <f ca="1">IFERROR('D. Annual Schedule Tables'!E98/E25,0)</f>
        <v>0</v>
      </c>
      <c r="F40" s="347">
        <f ca="1">IFERROR('D. Annual Schedule Tables'!F98/F25,0)</f>
        <v>0</v>
      </c>
      <c r="G40" s="347">
        <f ca="1">IFERROR('D. Annual Schedule Tables'!G98/G25,0)</f>
        <v>0</v>
      </c>
      <c r="H40" s="347">
        <f ca="1">IFERROR('D. Annual Schedule Tables'!H98/H25,0)</f>
        <v>0</v>
      </c>
      <c r="I40" s="347">
        <f ca="1">IFERROR('D. Annual Schedule Tables'!I98/I25,0)</f>
        <v>0</v>
      </c>
      <c r="J40" s="347">
        <f ca="1">IFERROR('D. Annual Schedule Tables'!J98/J25,0)</f>
        <v>0</v>
      </c>
      <c r="K40" s="347">
        <f ca="1">IFERROR('D. Annual Schedule Tables'!K98/K25,0)</f>
        <v>0</v>
      </c>
      <c r="L40" s="347">
        <f ca="1">IFERROR('D. Annual Schedule Tables'!L98/L25,0)</f>
        <v>0</v>
      </c>
      <c r="M40" s="347">
        <f ca="1">IFERROR('D. Annual Schedule Tables'!M98/M25,0)</f>
        <v>0</v>
      </c>
      <c r="N40" s="347">
        <f ca="1">IFERROR('D. Annual Schedule Tables'!N98/N25,0)</f>
        <v>0</v>
      </c>
      <c r="O40" s="347">
        <f ca="1">IFERROR('D. Annual Schedule Tables'!O98/O25,0)</f>
        <v>0</v>
      </c>
      <c r="P40" s="434">
        <f t="shared" ca="1" si="7"/>
        <v>0</v>
      </c>
    </row>
    <row r="41" spans="3:16" s="1" customFormat="1" collapsed="1" x14ac:dyDescent="0.3">
      <c r="C41" s="1" t="s">
        <v>672</v>
      </c>
      <c r="E41" s="506">
        <f ca="1">IFERROR('D. Annual Schedule Tables'!E99/E25,0)</f>
        <v>0</v>
      </c>
      <c r="F41" s="506">
        <f ca="1">IFERROR('D. Annual Schedule Tables'!F99/F25,0)</f>
        <v>0</v>
      </c>
      <c r="G41" s="506">
        <f ca="1">IFERROR('D. Annual Schedule Tables'!G99/G25,0)</f>
        <v>0</v>
      </c>
      <c r="H41" s="506">
        <f ca="1">IFERROR('D. Annual Schedule Tables'!H99/H25,0)</f>
        <v>0</v>
      </c>
      <c r="I41" s="506">
        <f ca="1">IFERROR('D. Annual Schedule Tables'!I99/I25,0)</f>
        <v>0</v>
      </c>
      <c r="J41" s="506">
        <f ca="1">IFERROR('D. Annual Schedule Tables'!J99/J25,0)</f>
        <v>0</v>
      </c>
      <c r="K41" s="506">
        <f ca="1">IFERROR('D. Annual Schedule Tables'!K99/K25,0)</f>
        <v>0</v>
      </c>
      <c r="L41" s="506">
        <f ca="1">IFERROR('D. Annual Schedule Tables'!L99/L25,0)</f>
        <v>0</v>
      </c>
      <c r="M41" s="506">
        <f ca="1">IFERROR('D. Annual Schedule Tables'!M99/M25,0)</f>
        <v>0</v>
      </c>
      <c r="N41" s="506">
        <f ca="1">IFERROR('D. Annual Schedule Tables'!N99/N25,0)</f>
        <v>0</v>
      </c>
      <c r="O41" s="506">
        <f ca="1">IFERROR('D. Annual Schedule Tables'!O99/O25,0)</f>
        <v>0</v>
      </c>
      <c r="P41" s="474">
        <f ca="1">IF(O41=0,IF(N41=0,IF(M41=0,IF(L41=0,IF(K41=0,IF(J41=0,IF(I41=0,IF(H41=0,IF(G41=0,IF(F41=0,E41,F41),G41),H41),I41),J41),K41),L41),M41),N41),O41)</f>
        <v>0</v>
      </c>
    </row>
    <row r="42" spans="3:16" s="1" customFormat="1" hidden="1" outlineLevel="1" x14ac:dyDescent="0.3">
      <c r="C42" s="483" t="s">
        <v>726</v>
      </c>
      <c r="E42" s="501">
        <f ca="1">IFERROR(E38*'B. Implementation Plan'!P43/52,0)</f>
        <v>0</v>
      </c>
      <c r="F42" s="501">
        <f ca="1">IFERROR(F38*'B. Implementation Plan'!P43/52,0)</f>
        <v>0</v>
      </c>
      <c r="G42" s="501">
        <f ca="1">IFERROR(G38*'B. Implementation Plan'!P43/52,0)</f>
        <v>0</v>
      </c>
      <c r="H42" s="501">
        <f ca="1">IFERROR(H38*'B. Implementation Plan'!P43/52,0)</f>
        <v>0</v>
      </c>
      <c r="I42" s="501">
        <f ca="1">IFERROR(I38*'B. Implementation Plan'!P43/52,0)</f>
        <v>0</v>
      </c>
      <c r="J42" s="501">
        <f ca="1">IFERROR(J38*'B. Implementation Plan'!P43/52,0)</f>
        <v>0</v>
      </c>
      <c r="K42" s="501">
        <f ca="1">IFERROR(K38*'B. Implementation Plan'!P43/52,0)</f>
        <v>0</v>
      </c>
      <c r="L42" s="501">
        <f ca="1">IFERROR(L38*'B. Implementation Plan'!P43/52,0)</f>
        <v>0</v>
      </c>
      <c r="M42" s="501">
        <f ca="1">IFERROR(M38*'B. Implementation Plan'!P43/52,0)</f>
        <v>0</v>
      </c>
      <c r="N42" s="501">
        <f ca="1">IFERROR(N38*'B. Implementation Plan'!P43/52,0)</f>
        <v>0</v>
      </c>
      <c r="O42" s="501">
        <f ca="1">IFERROR(O38*'B. Implementation Plan'!P43/52,0)</f>
        <v>0</v>
      </c>
      <c r="P42" s="467">
        <f t="shared" ca="1" si="7"/>
        <v>0</v>
      </c>
    </row>
    <row r="43" spans="3:16" s="1" customFormat="1" hidden="1" outlineLevel="1" x14ac:dyDescent="0.3">
      <c r="C43" s="483" t="s">
        <v>727</v>
      </c>
      <c r="E43" s="501">
        <f ca="1">IFERROR(E39*'B. Implementation Plan'!P44/52,0)</f>
        <v>0</v>
      </c>
      <c r="F43" s="501">
        <f ca="1">IFERROR(F39*'B. Implementation Plan'!P44/52,0)</f>
        <v>0</v>
      </c>
      <c r="G43" s="501">
        <f ca="1">IFERROR(G39*'B. Implementation Plan'!P44/52,0)</f>
        <v>0</v>
      </c>
      <c r="H43" s="501">
        <f ca="1">IFERROR(H39*'B. Implementation Plan'!P44/52,0)</f>
        <v>0</v>
      </c>
      <c r="I43" s="501">
        <f ca="1">IFERROR(I39*'B. Implementation Plan'!P44/52,0)</f>
        <v>0</v>
      </c>
      <c r="J43" s="501">
        <f ca="1">IFERROR(J39*'B. Implementation Plan'!P44/52,0)</f>
        <v>0</v>
      </c>
      <c r="K43" s="501">
        <f ca="1">IFERROR(K39*'B. Implementation Plan'!P44/52,0)</f>
        <v>0</v>
      </c>
      <c r="L43" s="501">
        <f ca="1">IFERROR(L39*'B. Implementation Plan'!P44/52,0)</f>
        <v>0</v>
      </c>
      <c r="M43" s="501">
        <f ca="1">IFERROR(M39*'B. Implementation Plan'!P44/52,0)</f>
        <v>0</v>
      </c>
      <c r="N43" s="501">
        <f ca="1">IFERROR(N39*'B. Implementation Plan'!P44/52,0)</f>
        <v>0</v>
      </c>
      <c r="O43" s="501">
        <f ca="1">IFERROR(O39*'B. Implementation Plan'!P44/52,0)</f>
        <v>0</v>
      </c>
      <c r="P43" s="467">
        <f t="shared" ca="1" si="7"/>
        <v>0</v>
      </c>
    </row>
    <row r="44" spans="3:16" s="1" customFormat="1" hidden="1" outlineLevel="1" x14ac:dyDescent="0.3">
      <c r="C44" s="483" t="s">
        <v>728</v>
      </c>
      <c r="E44" s="501">
        <f ca="1">IFERROR(E40*'B. Implementation Plan'!P45/52,0)</f>
        <v>0</v>
      </c>
      <c r="F44" s="501">
        <f ca="1">IFERROR(F40*'B. Implementation Plan'!P45/52,0)</f>
        <v>0</v>
      </c>
      <c r="G44" s="501">
        <f ca="1">IFERROR(G40*'B. Implementation Plan'!P45/52,0)</f>
        <v>0</v>
      </c>
      <c r="H44" s="501">
        <f ca="1">IFERROR(H40*'B. Implementation Plan'!P45/52,0)</f>
        <v>0</v>
      </c>
      <c r="I44" s="501">
        <f ca="1">IFERROR(I40*'B. Implementation Plan'!P45/52,0)</f>
        <v>0</v>
      </c>
      <c r="J44" s="501">
        <f ca="1">IFERROR(J40*'B. Implementation Plan'!P45/52,0)</f>
        <v>0</v>
      </c>
      <c r="K44" s="501">
        <f ca="1">IFERROR(K40*'B. Implementation Plan'!P45/52,0)</f>
        <v>0</v>
      </c>
      <c r="L44" s="501">
        <f ca="1">IFERROR(L40*'B. Implementation Plan'!P45/52,0)</f>
        <v>0</v>
      </c>
      <c r="M44" s="501">
        <f ca="1">IFERROR(M40*'B. Implementation Plan'!P45/52,0)</f>
        <v>0</v>
      </c>
      <c r="N44" s="501">
        <f ca="1">IFERROR(N40*'B. Implementation Plan'!P45/52,0)</f>
        <v>0</v>
      </c>
      <c r="O44" s="501">
        <f ca="1">IFERROR(O40*'B. Implementation Plan'!P45/52,0)</f>
        <v>0</v>
      </c>
      <c r="P44" s="467">
        <f t="shared" ca="1" si="7"/>
        <v>0</v>
      </c>
    </row>
    <row r="45" spans="3:16" s="1" customFormat="1" collapsed="1" x14ac:dyDescent="0.3">
      <c r="C45" s="409" t="s">
        <v>741</v>
      </c>
      <c r="E45" s="472">
        <f ca="1">IFERROR(SUMPRODUCT(E38:E40,'B. Implementation Plan'!P43:P45)/52,0)</f>
        <v>0</v>
      </c>
      <c r="F45" s="472">
        <f ca="1">IFERROR(SUMPRODUCT(F38:F40,'B. Implementation Plan'!P43:P45)/52,0)</f>
        <v>0</v>
      </c>
      <c r="G45" s="472">
        <f ca="1">IFERROR(SUMPRODUCT(G38:G40,'B. Implementation Plan'!P43:P45)/52,0)</f>
        <v>0</v>
      </c>
      <c r="H45" s="472">
        <f ca="1">IFERROR(SUMPRODUCT(H38:H40,'B. Implementation Plan'!P43:P45)/52,0)</f>
        <v>0</v>
      </c>
      <c r="I45" s="472">
        <f ca="1">IFERROR(SUMPRODUCT(I38:I40,'B. Implementation Plan'!P43:P45)/52,0)</f>
        <v>0</v>
      </c>
      <c r="J45" s="472">
        <f ca="1">IFERROR(SUMPRODUCT(J38:J40,'B. Implementation Plan'!P43:P45)/52,0)</f>
        <v>0</v>
      </c>
      <c r="K45" s="472">
        <f ca="1">IFERROR(SUMPRODUCT(K38:K40,'B. Implementation Plan'!P43:P45)/52,0)</f>
        <v>0</v>
      </c>
      <c r="L45" s="472">
        <f ca="1">IFERROR(SUMPRODUCT(L38:L40,'B. Implementation Plan'!P43:P45)/52,0)</f>
        <v>0</v>
      </c>
      <c r="M45" s="472">
        <f ca="1">IFERROR(SUMPRODUCT(M38:M40,'B. Implementation Plan'!P43:P45)/52,0)</f>
        <v>0</v>
      </c>
      <c r="N45" s="472">
        <f ca="1">IFERROR(SUMPRODUCT(N38:N40,'B. Implementation Plan'!P43:P45)/52,0)</f>
        <v>0</v>
      </c>
      <c r="O45" s="472">
        <f ca="1">IFERROR(SUMPRODUCT(O38:O40,'B. Implementation Plan'!P43:P45)/52,0)</f>
        <v>0</v>
      </c>
      <c r="P45" s="474">
        <f ca="1">IF(O45=0,IF(N45=0,IF(M45=0,IF(L45=0,IF(K45=0,IF(J45=0,IF(I45=0,IF(H45=0,IF(G45=0,IF(F45=0,E45,F45),G45),H45),I45),J45),K45),L45),M45),N45),O45)</f>
        <v>0</v>
      </c>
    </row>
    <row r="46" spans="3:16" s="1" customFormat="1" hidden="1" outlineLevel="1" x14ac:dyDescent="0.3">
      <c r="C46" s="433" t="s">
        <v>657</v>
      </c>
      <c r="E46" s="465">
        <f ca="1">IFERROR('D. Annual Schedule Tables'!E688/(E41*E25),0)</f>
        <v>0</v>
      </c>
      <c r="F46" s="465">
        <f ca="1">IFERROR('D. Annual Schedule Tables'!F688/(F41*F25),0)</f>
        <v>0</v>
      </c>
      <c r="G46" s="465">
        <f ca="1">IFERROR('D. Annual Schedule Tables'!G688/(G41*G25),0)</f>
        <v>0</v>
      </c>
      <c r="H46" s="465">
        <f ca="1">IFERROR('D. Annual Schedule Tables'!H688/(H41*H25),0)</f>
        <v>0</v>
      </c>
      <c r="I46" s="465">
        <f ca="1">IFERROR('D. Annual Schedule Tables'!I688/(I41*I25),0)</f>
        <v>0</v>
      </c>
      <c r="J46" s="465">
        <f ca="1">IFERROR('D. Annual Schedule Tables'!J688/(J41*J25),0)</f>
        <v>0</v>
      </c>
      <c r="K46" s="465">
        <f ca="1">IFERROR('D. Annual Schedule Tables'!K688/(K41*K25),0)</f>
        <v>0</v>
      </c>
      <c r="L46" s="465">
        <f ca="1">IFERROR('D. Annual Schedule Tables'!L688/(L41*L25),0)</f>
        <v>0</v>
      </c>
      <c r="M46" s="465">
        <f ca="1">IFERROR('D. Annual Schedule Tables'!M688/(M41*M25),0)</f>
        <v>0</v>
      </c>
      <c r="N46" s="465">
        <f ca="1">IFERROR('D. Annual Schedule Tables'!N688/(N41*N25),0)</f>
        <v>0</v>
      </c>
      <c r="O46" s="465">
        <f ca="1">IFERROR('D. Annual Schedule Tables'!O688/(O41*O25),0)</f>
        <v>0</v>
      </c>
      <c r="P46" s="466">
        <f ca="1">IF(O46=0,IF(N46=0,IF(M46=0,IF(L46=0,IF(K46=0,IF(J46=0,IF(I46=0,IF(H46=0,IF(G46=0,IF(F46=0,E46,F46),G46),H46),I46),J46),K46),L46),M46),N46),O46)</f>
        <v>0</v>
      </c>
    </row>
    <row r="47" spans="3:16" s="1" customFormat="1" hidden="1" outlineLevel="1" x14ac:dyDescent="0.3">
      <c r="C47" s="483" t="s">
        <v>729</v>
      </c>
      <c r="E47" s="468">
        <f t="shared" ref="E47:O47" ca="1" si="9">IFERROR(E46*E42,0)</f>
        <v>0</v>
      </c>
      <c r="F47" s="468">
        <f t="shared" ca="1" si="9"/>
        <v>0</v>
      </c>
      <c r="G47" s="468">
        <f t="shared" ca="1" si="9"/>
        <v>0</v>
      </c>
      <c r="H47" s="468">
        <f t="shared" ca="1" si="9"/>
        <v>0</v>
      </c>
      <c r="I47" s="468">
        <f t="shared" ca="1" si="9"/>
        <v>0</v>
      </c>
      <c r="J47" s="468">
        <f t="shared" ca="1" si="9"/>
        <v>0</v>
      </c>
      <c r="K47" s="468">
        <f t="shared" ca="1" si="9"/>
        <v>0</v>
      </c>
      <c r="L47" s="468">
        <f t="shared" ca="1" si="9"/>
        <v>0</v>
      </c>
      <c r="M47" s="468">
        <f t="shared" ca="1" si="9"/>
        <v>0</v>
      </c>
      <c r="N47" s="468">
        <f t="shared" ca="1" si="9"/>
        <v>0</v>
      </c>
      <c r="O47" s="468">
        <f t="shared" ca="1" si="9"/>
        <v>0</v>
      </c>
      <c r="P47" s="467">
        <f t="shared" ca="1" si="7"/>
        <v>0</v>
      </c>
    </row>
    <row r="48" spans="3:16" s="1" customFormat="1" hidden="1" outlineLevel="1" x14ac:dyDescent="0.3">
      <c r="C48" s="483" t="s">
        <v>730</v>
      </c>
      <c r="E48" s="468">
        <f t="shared" ref="E48:O48" ca="1" si="10">IFERROR(E46*E43,0)</f>
        <v>0</v>
      </c>
      <c r="F48" s="468">
        <f t="shared" ca="1" si="10"/>
        <v>0</v>
      </c>
      <c r="G48" s="468">
        <f t="shared" ca="1" si="10"/>
        <v>0</v>
      </c>
      <c r="H48" s="468">
        <f t="shared" ca="1" si="10"/>
        <v>0</v>
      </c>
      <c r="I48" s="468">
        <f t="shared" ca="1" si="10"/>
        <v>0</v>
      </c>
      <c r="J48" s="468">
        <f t="shared" ca="1" si="10"/>
        <v>0</v>
      </c>
      <c r="K48" s="468">
        <f t="shared" ca="1" si="10"/>
        <v>0</v>
      </c>
      <c r="L48" s="468">
        <f t="shared" ca="1" si="10"/>
        <v>0</v>
      </c>
      <c r="M48" s="468">
        <f t="shared" ca="1" si="10"/>
        <v>0</v>
      </c>
      <c r="N48" s="468">
        <f t="shared" ca="1" si="10"/>
        <v>0</v>
      </c>
      <c r="O48" s="468">
        <f t="shared" ca="1" si="10"/>
        <v>0</v>
      </c>
      <c r="P48" s="467">
        <f t="shared" ca="1" si="7"/>
        <v>0</v>
      </c>
    </row>
    <row r="49" spans="1:16" s="1" customFormat="1" hidden="1" outlineLevel="1" x14ac:dyDescent="0.3">
      <c r="C49" s="483" t="s">
        <v>731</v>
      </c>
      <c r="E49" s="468">
        <f t="shared" ref="E49:O49" ca="1" si="11">IFERROR(E46*E44,0)</f>
        <v>0</v>
      </c>
      <c r="F49" s="468">
        <f t="shared" ca="1" si="11"/>
        <v>0</v>
      </c>
      <c r="G49" s="468">
        <f t="shared" ca="1" si="11"/>
        <v>0</v>
      </c>
      <c r="H49" s="468">
        <f t="shared" ca="1" si="11"/>
        <v>0</v>
      </c>
      <c r="I49" s="468">
        <f t="shared" ca="1" si="11"/>
        <v>0</v>
      </c>
      <c r="J49" s="468">
        <f t="shared" ca="1" si="11"/>
        <v>0</v>
      </c>
      <c r="K49" s="468">
        <f t="shared" ca="1" si="11"/>
        <v>0</v>
      </c>
      <c r="L49" s="468">
        <f t="shared" ca="1" si="11"/>
        <v>0</v>
      </c>
      <c r="M49" s="468">
        <f t="shared" ca="1" si="11"/>
        <v>0</v>
      </c>
      <c r="N49" s="468">
        <f t="shared" ca="1" si="11"/>
        <v>0</v>
      </c>
      <c r="O49" s="468">
        <f t="shared" ca="1" si="11"/>
        <v>0</v>
      </c>
      <c r="P49" s="467">
        <f t="shared" ca="1" si="7"/>
        <v>0</v>
      </c>
    </row>
    <row r="50" spans="1:16" collapsed="1" x14ac:dyDescent="0.3">
      <c r="C50" s="433" t="s">
        <v>656</v>
      </c>
      <c r="E50" s="468">
        <f t="shared" ref="E50:O50" ca="1" si="12">IFERROR(E46*E45,0)</f>
        <v>0</v>
      </c>
      <c r="F50" s="468">
        <f t="shared" ca="1" si="12"/>
        <v>0</v>
      </c>
      <c r="G50" s="468">
        <f t="shared" ca="1" si="12"/>
        <v>0</v>
      </c>
      <c r="H50" s="468">
        <f t="shared" ca="1" si="12"/>
        <v>0</v>
      </c>
      <c r="I50" s="468">
        <f t="shared" ca="1" si="12"/>
        <v>0</v>
      </c>
      <c r="J50" s="468">
        <f t="shared" ca="1" si="12"/>
        <v>0</v>
      </c>
      <c r="K50" s="468">
        <f t="shared" ca="1" si="12"/>
        <v>0</v>
      </c>
      <c r="L50" s="468">
        <f t="shared" ca="1" si="12"/>
        <v>0</v>
      </c>
      <c r="M50" s="468">
        <f t="shared" ca="1" si="12"/>
        <v>0</v>
      </c>
      <c r="N50" s="468">
        <f t="shared" ca="1" si="12"/>
        <v>0</v>
      </c>
      <c r="O50" s="471">
        <f t="shared" ca="1" si="12"/>
        <v>0</v>
      </c>
      <c r="P50" s="467">
        <f t="shared" ref="P50:P65" ca="1" si="13">IF(O50=0,IF(N50=0,IF(M50=0,IF(L50=0,IF(K50=0,IF(J50=0,IF(I50=0,IF(H50=0,IF(G50=0,IF(F50=0,E50,F50),G50),H50),I50),J50),K50),L50),M50),N50),O50)</f>
        <v>0</v>
      </c>
    </row>
    <row r="51" spans="1:16" hidden="1" outlineLevel="1" x14ac:dyDescent="0.3">
      <c r="C51" s="433" t="s">
        <v>880</v>
      </c>
      <c r="E51" s="378">
        <f ca="1">IFERROR('D. Annual Schedule Tables'!E689/(E41*E25),0)</f>
        <v>0</v>
      </c>
      <c r="F51" s="378">
        <f ca="1">IFERROR('D. Annual Schedule Tables'!F689/(F41*F25),0)</f>
        <v>0</v>
      </c>
      <c r="G51" s="378">
        <f ca="1">IFERROR('D. Annual Schedule Tables'!G689/(G41*G25),0)</f>
        <v>0</v>
      </c>
      <c r="H51" s="378">
        <f ca="1">IFERROR('D. Annual Schedule Tables'!H689/(H41*H25),0)</f>
        <v>0</v>
      </c>
      <c r="I51" s="378">
        <f ca="1">IFERROR('D. Annual Schedule Tables'!I689/(I41*I25),0)</f>
        <v>0</v>
      </c>
      <c r="J51" s="378">
        <f ca="1">IFERROR('D. Annual Schedule Tables'!J689/(J41*J25),0)</f>
        <v>0</v>
      </c>
      <c r="K51" s="378">
        <f ca="1">IFERROR('D. Annual Schedule Tables'!K689/(K41*K25),0)</f>
        <v>0</v>
      </c>
      <c r="L51" s="378">
        <f ca="1">IFERROR('D. Annual Schedule Tables'!L689/(L41*L25),0)</f>
        <v>0</v>
      </c>
      <c r="M51" s="378">
        <f ca="1">IFERROR('D. Annual Schedule Tables'!M689/(M41*M25),0)</f>
        <v>0</v>
      </c>
      <c r="N51" s="378">
        <f ca="1">IFERROR('D. Annual Schedule Tables'!N689/(N41*N25),0)</f>
        <v>0</v>
      </c>
      <c r="O51" s="378">
        <f ca="1">IFERROR('D. Annual Schedule Tables'!O689/(O41*O25),0)</f>
        <v>0</v>
      </c>
      <c r="P51" s="466">
        <f ca="1">IF(O51=0,IF(N51=0,IF(M51=0,IF(L51=0,IF(K51=0,IF(J51=0,IF(I51=0,IF(H51=0,IF(G51=0,IF(F51=0,E51,F51),G51),H51),I51),J51),K51),L51),M51),N51),O51)</f>
        <v>0</v>
      </c>
    </row>
    <row r="52" spans="1:16" hidden="1" outlineLevel="1" x14ac:dyDescent="0.3">
      <c r="C52" s="483" t="s">
        <v>881</v>
      </c>
      <c r="E52" s="468">
        <f ca="1">IFERROR(E51*E42,0)</f>
        <v>0</v>
      </c>
      <c r="F52" s="468">
        <f t="shared" ref="F52:O52" ca="1" si="14">IFERROR(F51*F42,0)</f>
        <v>0</v>
      </c>
      <c r="G52" s="468">
        <f t="shared" ca="1" si="14"/>
        <v>0</v>
      </c>
      <c r="H52" s="468">
        <f t="shared" ca="1" si="14"/>
        <v>0</v>
      </c>
      <c r="I52" s="468">
        <f t="shared" ca="1" si="14"/>
        <v>0</v>
      </c>
      <c r="J52" s="468">
        <f t="shared" ca="1" si="14"/>
        <v>0</v>
      </c>
      <c r="K52" s="468">
        <f t="shared" ca="1" si="14"/>
        <v>0</v>
      </c>
      <c r="L52" s="468">
        <f t="shared" ca="1" si="14"/>
        <v>0</v>
      </c>
      <c r="M52" s="468">
        <f t="shared" ca="1" si="14"/>
        <v>0</v>
      </c>
      <c r="N52" s="468">
        <f t="shared" ca="1" si="14"/>
        <v>0</v>
      </c>
      <c r="O52" s="468">
        <f t="shared" ca="1" si="14"/>
        <v>0</v>
      </c>
      <c r="P52" s="467">
        <f t="shared" ca="1" si="7"/>
        <v>0</v>
      </c>
    </row>
    <row r="53" spans="1:16" hidden="1" outlineLevel="1" x14ac:dyDescent="0.3">
      <c r="C53" s="483" t="s">
        <v>882</v>
      </c>
      <c r="E53" s="468">
        <f ca="1">IFERROR(E51*E43,0)</f>
        <v>0</v>
      </c>
      <c r="F53" s="468">
        <f t="shared" ref="F53:O53" ca="1" si="15">IFERROR(F51*F43,0)</f>
        <v>0</v>
      </c>
      <c r="G53" s="468">
        <f t="shared" ca="1" si="15"/>
        <v>0</v>
      </c>
      <c r="H53" s="468">
        <f t="shared" ca="1" si="15"/>
        <v>0</v>
      </c>
      <c r="I53" s="468">
        <f t="shared" ca="1" si="15"/>
        <v>0</v>
      </c>
      <c r="J53" s="468">
        <f t="shared" ca="1" si="15"/>
        <v>0</v>
      </c>
      <c r="K53" s="468">
        <f t="shared" ca="1" si="15"/>
        <v>0</v>
      </c>
      <c r="L53" s="468">
        <f t="shared" ca="1" si="15"/>
        <v>0</v>
      </c>
      <c r="M53" s="468">
        <f t="shared" ca="1" si="15"/>
        <v>0</v>
      </c>
      <c r="N53" s="468">
        <f t="shared" ca="1" si="15"/>
        <v>0</v>
      </c>
      <c r="O53" s="468">
        <f t="shared" ca="1" si="15"/>
        <v>0</v>
      </c>
      <c r="P53" s="467">
        <f t="shared" ca="1" si="7"/>
        <v>0</v>
      </c>
    </row>
    <row r="54" spans="1:16" hidden="1" outlineLevel="1" x14ac:dyDescent="0.3">
      <c r="C54" s="483" t="s">
        <v>883</v>
      </c>
      <c r="E54" s="468">
        <f ca="1">IFERROR(E51*E44,0)</f>
        <v>0</v>
      </c>
      <c r="F54" s="468">
        <f t="shared" ref="F54:O54" ca="1" si="16">IFERROR(F51*F44,0)</f>
        <v>0</v>
      </c>
      <c r="G54" s="468">
        <f t="shared" ca="1" si="16"/>
        <v>0</v>
      </c>
      <c r="H54" s="468">
        <f t="shared" ca="1" si="16"/>
        <v>0</v>
      </c>
      <c r="I54" s="468">
        <f t="shared" ca="1" si="16"/>
        <v>0</v>
      </c>
      <c r="J54" s="468">
        <f t="shared" ca="1" si="16"/>
        <v>0</v>
      </c>
      <c r="K54" s="468">
        <f t="shared" ca="1" si="16"/>
        <v>0</v>
      </c>
      <c r="L54" s="468">
        <f t="shared" ca="1" si="16"/>
        <v>0</v>
      </c>
      <c r="M54" s="468">
        <f t="shared" ca="1" si="16"/>
        <v>0</v>
      </c>
      <c r="N54" s="468">
        <f t="shared" ca="1" si="16"/>
        <v>0</v>
      </c>
      <c r="O54" s="468">
        <f t="shared" ca="1" si="16"/>
        <v>0</v>
      </c>
      <c r="P54" s="467">
        <f t="shared" ca="1" si="7"/>
        <v>0</v>
      </c>
    </row>
    <row r="55" spans="1:16" collapsed="1" x14ac:dyDescent="0.3">
      <c r="C55" s="433" t="s">
        <v>884</v>
      </c>
      <c r="E55" s="468">
        <f ca="1">IFERROR(E51*E45,0)</f>
        <v>0</v>
      </c>
      <c r="F55" s="468">
        <f t="shared" ref="F55:O55" ca="1" si="17">IFERROR(F51*F45,0)</f>
        <v>0</v>
      </c>
      <c r="G55" s="468">
        <f t="shared" ca="1" si="17"/>
        <v>0</v>
      </c>
      <c r="H55" s="468">
        <f t="shared" ca="1" si="17"/>
        <v>0</v>
      </c>
      <c r="I55" s="468">
        <f t="shared" ca="1" si="17"/>
        <v>0</v>
      </c>
      <c r="J55" s="468">
        <f t="shared" ca="1" si="17"/>
        <v>0</v>
      </c>
      <c r="K55" s="468">
        <f t="shared" ca="1" si="17"/>
        <v>0</v>
      </c>
      <c r="L55" s="468">
        <f t="shared" ca="1" si="17"/>
        <v>0</v>
      </c>
      <c r="M55" s="468">
        <f t="shared" ca="1" si="17"/>
        <v>0</v>
      </c>
      <c r="N55" s="468">
        <f t="shared" ca="1" si="17"/>
        <v>0</v>
      </c>
      <c r="O55" s="468">
        <f t="shared" ca="1" si="17"/>
        <v>0</v>
      </c>
      <c r="P55" s="467">
        <f t="shared" ca="1" si="13"/>
        <v>0</v>
      </c>
    </row>
    <row r="56" spans="1:16" hidden="1" outlineLevel="1" x14ac:dyDescent="0.3">
      <c r="C56" s="433" t="s">
        <v>897</v>
      </c>
      <c r="E56" s="378">
        <f ca="1">IFERROR((1-E46-E51),0)</f>
        <v>1</v>
      </c>
      <c r="F56" s="378">
        <f t="shared" ref="F56:O56" ca="1" si="18">IFERROR((1-F46-F51),0)</f>
        <v>1</v>
      </c>
      <c r="G56" s="378">
        <f t="shared" ca="1" si="18"/>
        <v>1</v>
      </c>
      <c r="H56" s="378">
        <f t="shared" ca="1" si="18"/>
        <v>1</v>
      </c>
      <c r="I56" s="378">
        <f t="shared" ca="1" si="18"/>
        <v>1</v>
      </c>
      <c r="J56" s="378">
        <f t="shared" ca="1" si="18"/>
        <v>1</v>
      </c>
      <c r="K56" s="378">
        <f t="shared" ca="1" si="18"/>
        <v>1</v>
      </c>
      <c r="L56" s="378">
        <f t="shared" ca="1" si="18"/>
        <v>1</v>
      </c>
      <c r="M56" s="378">
        <f t="shared" ca="1" si="18"/>
        <v>1</v>
      </c>
      <c r="N56" s="378">
        <f t="shared" ca="1" si="18"/>
        <v>1</v>
      </c>
      <c r="O56" s="378">
        <f t="shared" ca="1" si="18"/>
        <v>1</v>
      </c>
      <c r="P56" s="466">
        <f ca="1">IF(O56=0,IF(N56=0,IF(M56=0,IF(L56=0,IF(K56=0,IF(J56=0,IF(I56=0,IF(H56=0,IF(G56=0,IF(F56=0,E56,F56),G56),H56),I56),J56),K56),L56),M56),N56),O56)</f>
        <v>1</v>
      </c>
    </row>
    <row r="57" spans="1:16" hidden="1" outlineLevel="1" x14ac:dyDescent="0.3">
      <c r="C57" s="483" t="s">
        <v>898</v>
      </c>
      <c r="E57" s="468">
        <f ca="1">IFERROR(E56*E42,0)</f>
        <v>0</v>
      </c>
      <c r="F57" s="468">
        <f t="shared" ref="F57:O57" ca="1" si="19">IFERROR(F56*F42,0)</f>
        <v>0</v>
      </c>
      <c r="G57" s="468">
        <f t="shared" ca="1" si="19"/>
        <v>0</v>
      </c>
      <c r="H57" s="468">
        <f t="shared" ca="1" si="19"/>
        <v>0</v>
      </c>
      <c r="I57" s="468">
        <f t="shared" ca="1" si="19"/>
        <v>0</v>
      </c>
      <c r="J57" s="468">
        <f t="shared" ca="1" si="19"/>
        <v>0</v>
      </c>
      <c r="K57" s="468">
        <f t="shared" ca="1" si="19"/>
        <v>0</v>
      </c>
      <c r="L57" s="468">
        <f t="shared" ca="1" si="19"/>
        <v>0</v>
      </c>
      <c r="M57" s="468">
        <f t="shared" ca="1" si="19"/>
        <v>0</v>
      </c>
      <c r="N57" s="468">
        <f t="shared" ca="1" si="19"/>
        <v>0</v>
      </c>
      <c r="O57" s="468">
        <f t="shared" ca="1" si="19"/>
        <v>0</v>
      </c>
      <c r="P57" s="467">
        <f t="shared" ca="1" si="7"/>
        <v>0</v>
      </c>
    </row>
    <row r="58" spans="1:16" hidden="1" outlineLevel="1" x14ac:dyDescent="0.3">
      <c r="C58" s="483" t="s">
        <v>899</v>
      </c>
      <c r="E58" s="468">
        <f ca="1">IFERROR(E56*E43,0)</f>
        <v>0</v>
      </c>
      <c r="F58" s="468">
        <f t="shared" ref="F58:O58" ca="1" si="20">IFERROR(F56*F43,0)</f>
        <v>0</v>
      </c>
      <c r="G58" s="468">
        <f t="shared" ca="1" si="20"/>
        <v>0</v>
      </c>
      <c r="H58" s="468">
        <f t="shared" ca="1" si="20"/>
        <v>0</v>
      </c>
      <c r="I58" s="468">
        <f t="shared" ca="1" si="20"/>
        <v>0</v>
      </c>
      <c r="J58" s="468">
        <f t="shared" ca="1" si="20"/>
        <v>0</v>
      </c>
      <c r="K58" s="468">
        <f t="shared" ca="1" si="20"/>
        <v>0</v>
      </c>
      <c r="L58" s="468">
        <f t="shared" ca="1" si="20"/>
        <v>0</v>
      </c>
      <c r="M58" s="468">
        <f t="shared" ca="1" si="20"/>
        <v>0</v>
      </c>
      <c r="N58" s="468">
        <f t="shared" ca="1" si="20"/>
        <v>0</v>
      </c>
      <c r="O58" s="468">
        <f t="shared" ca="1" si="20"/>
        <v>0</v>
      </c>
      <c r="P58" s="467">
        <f t="shared" ca="1" si="7"/>
        <v>0</v>
      </c>
    </row>
    <row r="59" spans="1:16" hidden="1" outlineLevel="1" x14ac:dyDescent="0.3">
      <c r="C59" s="483" t="s">
        <v>900</v>
      </c>
      <c r="E59" s="468">
        <f ca="1">IFERROR(E56*E44,0)</f>
        <v>0</v>
      </c>
      <c r="F59" s="468">
        <f t="shared" ref="F59:O59" ca="1" si="21">IFERROR(F56*F44,0)</f>
        <v>0</v>
      </c>
      <c r="G59" s="468">
        <f t="shared" ca="1" si="21"/>
        <v>0</v>
      </c>
      <c r="H59" s="468">
        <f t="shared" ca="1" si="21"/>
        <v>0</v>
      </c>
      <c r="I59" s="468">
        <f t="shared" ca="1" si="21"/>
        <v>0</v>
      </c>
      <c r="J59" s="468">
        <f t="shared" ca="1" si="21"/>
        <v>0</v>
      </c>
      <c r="K59" s="468">
        <f t="shared" ca="1" si="21"/>
        <v>0</v>
      </c>
      <c r="L59" s="468">
        <f t="shared" ca="1" si="21"/>
        <v>0</v>
      </c>
      <c r="M59" s="468">
        <f t="shared" ca="1" si="21"/>
        <v>0</v>
      </c>
      <c r="N59" s="468">
        <f t="shared" ca="1" si="21"/>
        <v>0</v>
      </c>
      <c r="O59" s="468">
        <f t="shared" ca="1" si="21"/>
        <v>0</v>
      </c>
      <c r="P59" s="467">
        <f t="shared" ca="1" si="7"/>
        <v>0</v>
      </c>
    </row>
    <row r="60" spans="1:16" collapsed="1" x14ac:dyDescent="0.3">
      <c r="C60" s="433" t="s">
        <v>896</v>
      </c>
      <c r="E60" s="468">
        <f t="shared" ref="E60:O60" ca="1" si="22">IFERROR(E56*E45,0)</f>
        <v>0</v>
      </c>
      <c r="F60" s="468">
        <f t="shared" ca="1" si="22"/>
        <v>0</v>
      </c>
      <c r="G60" s="468">
        <f t="shared" ca="1" si="22"/>
        <v>0</v>
      </c>
      <c r="H60" s="468">
        <f t="shared" ca="1" si="22"/>
        <v>0</v>
      </c>
      <c r="I60" s="468">
        <f t="shared" ca="1" si="22"/>
        <v>0</v>
      </c>
      <c r="J60" s="468">
        <f t="shared" ca="1" si="22"/>
        <v>0</v>
      </c>
      <c r="K60" s="468">
        <f t="shared" ca="1" si="22"/>
        <v>0</v>
      </c>
      <c r="L60" s="468">
        <f t="shared" ca="1" si="22"/>
        <v>0</v>
      </c>
      <c r="M60" s="468">
        <f t="shared" ca="1" si="22"/>
        <v>0</v>
      </c>
      <c r="N60" s="468">
        <f t="shared" ca="1" si="22"/>
        <v>0</v>
      </c>
      <c r="O60" s="468">
        <f t="shared" ca="1" si="22"/>
        <v>0</v>
      </c>
      <c r="P60" s="467">
        <f t="shared" ca="1" si="13"/>
        <v>0</v>
      </c>
    </row>
    <row r="61" spans="1:16" s="1" customFormat="1" hidden="1" outlineLevel="1" x14ac:dyDescent="0.3">
      <c r="A61"/>
      <c r="B61"/>
      <c r="C61" s="433" t="s">
        <v>653</v>
      </c>
      <c r="E61" s="465">
        <f ca="1">IFERROR('D. Annual Schedule Tables'!E701/(E41*E25),0)</f>
        <v>0</v>
      </c>
      <c r="F61" s="465">
        <f ca="1">IFERROR('D. Annual Schedule Tables'!F701/(F41*F25),0)</f>
        <v>0</v>
      </c>
      <c r="G61" s="465">
        <f ca="1">IFERROR('D. Annual Schedule Tables'!G701/(G41*G25),0)</f>
        <v>0</v>
      </c>
      <c r="H61" s="465">
        <f ca="1">IFERROR('D. Annual Schedule Tables'!H701/(H41*H25),0)</f>
        <v>0</v>
      </c>
      <c r="I61" s="465">
        <f ca="1">IFERROR('D. Annual Schedule Tables'!I701/(I41*I25),0)</f>
        <v>0</v>
      </c>
      <c r="J61" s="465">
        <f ca="1">IFERROR('D. Annual Schedule Tables'!J701/(J41*J25),0)</f>
        <v>0</v>
      </c>
      <c r="K61" s="465">
        <f ca="1">IFERROR('D. Annual Schedule Tables'!K701/(K41*K25),0)</f>
        <v>0</v>
      </c>
      <c r="L61" s="465">
        <f ca="1">IFERROR('D. Annual Schedule Tables'!L701/(L41*L25),0)</f>
        <v>0</v>
      </c>
      <c r="M61" s="465">
        <f ca="1">IFERROR('D. Annual Schedule Tables'!M701/(M41*M25),0)</f>
        <v>0</v>
      </c>
      <c r="N61" s="465">
        <f ca="1">IFERROR('D. Annual Schedule Tables'!N701/(N41*N25),0)</f>
        <v>0</v>
      </c>
      <c r="O61" s="465">
        <f ca="1">IFERROR('D. Annual Schedule Tables'!O701/(O41*O25),0)</f>
        <v>0</v>
      </c>
      <c r="P61" s="466">
        <f t="shared" ca="1" si="13"/>
        <v>0</v>
      </c>
    </row>
    <row r="62" spans="1:16" hidden="1" outlineLevel="1" x14ac:dyDescent="0.3">
      <c r="C62" s="483" t="s">
        <v>732</v>
      </c>
      <c r="E62" s="502">
        <f t="shared" ref="E62:O62" ca="1" si="23">IFERROR(E61*E42,0)</f>
        <v>0</v>
      </c>
      <c r="F62" s="502">
        <f t="shared" ca="1" si="23"/>
        <v>0</v>
      </c>
      <c r="G62" s="502">
        <f t="shared" ca="1" si="23"/>
        <v>0</v>
      </c>
      <c r="H62" s="502">
        <f t="shared" ca="1" si="23"/>
        <v>0</v>
      </c>
      <c r="I62" s="502">
        <f t="shared" ca="1" si="23"/>
        <v>0</v>
      </c>
      <c r="J62" s="502">
        <f t="shared" ca="1" si="23"/>
        <v>0</v>
      </c>
      <c r="K62" s="502">
        <f t="shared" ca="1" si="23"/>
        <v>0</v>
      </c>
      <c r="L62" s="502">
        <f t="shared" ca="1" si="23"/>
        <v>0</v>
      </c>
      <c r="M62" s="502">
        <f t="shared" ca="1" si="23"/>
        <v>0</v>
      </c>
      <c r="N62" s="502">
        <f t="shared" ca="1" si="23"/>
        <v>0</v>
      </c>
      <c r="O62" s="502">
        <f t="shared" ca="1" si="23"/>
        <v>0</v>
      </c>
      <c r="P62" s="467">
        <f t="shared" ca="1" si="13"/>
        <v>0</v>
      </c>
    </row>
    <row r="63" spans="1:16" hidden="1" outlineLevel="1" x14ac:dyDescent="0.3">
      <c r="C63" s="483" t="s">
        <v>733</v>
      </c>
      <c r="E63" s="502">
        <f t="shared" ref="E63:O63" ca="1" si="24">IFERROR(E61*E43,0)</f>
        <v>0</v>
      </c>
      <c r="F63" s="502">
        <f t="shared" ca="1" si="24"/>
        <v>0</v>
      </c>
      <c r="G63" s="502">
        <f t="shared" ca="1" si="24"/>
        <v>0</v>
      </c>
      <c r="H63" s="502">
        <f t="shared" ca="1" si="24"/>
        <v>0</v>
      </c>
      <c r="I63" s="502">
        <f t="shared" ca="1" si="24"/>
        <v>0</v>
      </c>
      <c r="J63" s="502">
        <f t="shared" ca="1" si="24"/>
        <v>0</v>
      </c>
      <c r="K63" s="502">
        <f t="shared" ca="1" si="24"/>
        <v>0</v>
      </c>
      <c r="L63" s="502">
        <f t="shared" ca="1" si="24"/>
        <v>0</v>
      </c>
      <c r="M63" s="502">
        <f t="shared" ca="1" si="24"/>
        <v>0</v>
      </c>
      <c r="N63" s="502">
        <f t="shared" ca="1" si="24"/>
        <v>0</v>
      </c>
      <c r="O63" s="502">
        <f t="shared" ca="1" si="24"/>
        <v>0</v>
      </c>
      <c r="P63" s="467">
        <f t="shared" ca="1" si="13"/>
        <v>0</v>
      </c>
    </row>
    <row r="64" spans="1:16" hidden="1" outlineLevel="1" x14ac:dyDescent="0.3">
      <c r="C64" s="483" t="s">
        <v>734</v>
      </c>
      <c r="E64" s="502">
        <f t="shared" ref="E64:O64" ca="1" si="25">IFERROR(E61*E44,0)</f>
        <v>0</v>
      </c>
      <c r="F64" s="502">
        <f t="shared" ca="1" si="25"/>
        <v>0</v>
      </c>
      <c r="G64" s="502">
        <f t="shared" ca="1" si="25"/>
        <v>0</v>
      </c>
      <c r="H64" s="502">
        <f t="shared" ca="1" si="25"/>
        <v>0</v>
      </c>
      <c r="I64" s="502">
        <f t="shared" ca="1" si="25"/>
        <v>0</v>
      </c>
      <c r="J64" s="502">
        <f t="shared" ca="1" si="25"/>
        <v>0</v>
      </c>
      <c r="K64" s="502">
        <f t="shared" ca="1" si="25"/>
        <v>0</v>
      </c>
      <c r="L64" s="502">
        <f t="shared" ca="1" si="25"/>
        <v>0</v>
      </c>
      <c r="M64" s="502">
        <f t="shared" ca="1" si="25"/>
        <v>0</v>
      </c>
      <c r="N64" s="502">
        <f t="shared" ca="1" si="25"/>
        <v>0</v>
      </c>
      <c r="O64" s="502">
        <f t="shared" ca="1" si="25"/>
        <v>0</v>
      </c>
      <c r="P64" s="467">
        <f t="shared" ca="1" si="13"/>
        <v>0</v>
      </c>
    </row>
    <row r="65" spans="3:16" collapsed="1" x14ac:dyDescent="0.3">
      <c r="C65" s="433" t="s">
        <v>655</v>
      </c>
      <c r="E65" s="468">
        <f t="shared" ref="E65:O65" ca="1" si="26">IFERROR(E61*E45,0)</f>
        <v>0</v>
      </c>
      <c r="F65" s="468">
        <f t="shared" ca="1" si="26"/>
        <v>0</v>
      </c>
      <c r="G65" s="468">
        <f t="shared" ca="1" si="26"/>
        <v>0</v>
      </c>
      <c r="H65" s="468">
        <f t="shared" ca="1" si="26"/>
        <v>0</v>
      </c>
      <c r="I65" s="468">
        <f t="shared" ca="1" si="26"/>
        <v>0</v>
      </c>
      <c r="J65" s="468">
        <f t="shared" ca="1" si="26"/>
        <v>0</v>
      </c>
      <c r="K65" s="468">
        <f t="shared" ca="1" si="26"/>
        <v>0</v>
      </c>
      <c r="L65" s="468">
        <f t="shared" ca="1" si="26"/>
        <v>0</v>
      </c>
      <c r="M65" s="468">
        <f t="shared" ca="1" si="26"/>
        <v>0</v>
      </c>
      <c r="N65" s="468">
        <f t="shared" ca="1" si="26"/>
        <v>0</v>
      </c>
      <c r="O65" s="471">
        <f t="shared" ca="1" si="26"/>
        <v>0</v>
      </c>
      <c r="P65" s="467">
        <f t="shared" ca="1" si="13"/>
        <v>0</v>
      </c>
    </row>
    <row r="66" spans="3:16" s="1" customFormat="1" hidden="1" outlineLevel="1" x14ac:dyDescent="0.3">
      <c r="C66" s="432" t="s">
        <v>675</v>
      </c>
      <c r="E66" s="507">
        <f ca="1">IFERROR('D. Annual Schedule Tables'!E115/E25,0)</f>
        <v>0</v>
      </c>
      <c r="F66" s="507">
        <f ca="1">IFERROR('D. Annual Schedule Tables'!F115/F25,0)</f>
        <v>0</v>
      </c>
      <c r="G66" s="507">
        <f ca="1">IFERROR('D. Annual Schedule Tables'!G115/G25,0)</f>
        <v>0</v>
      </c>
      <c r="H66" s="507">
        <f ca="1">IFERROR('D. Annual Schedule Tables'!H115/H25,0)</f>
        <v>0</v>
      </c>
      <c r="I66" s="507">
        <f ca="1">IFERROR('D. Annual Schedule Tables'!I115/I25,0)</f>
        <v>0</v>
      </c>
      <c r="J66" s="507">
        <f ca="1">IFERROR('D. Annual Schedule Tables'!J115/J25,0)</f>
        <v>0</v>
      </c>
      <c r="K66" s="507">
        <f ca="1">IFERROR('D. Annual Schedule Tables'!K115/K25,0)</f>
        <v>0</v>
      </c>
      <c r="L66" s="507">
        <f ca="1">IFERROR('D. Annual Schedule Tables'!L115/L25,0)</f>
        <v>0</v>
      </c>
      <c r="M66" s="507">
        <f ca="1">IFERROR('D. Annual Schedule Tables'!M115/M25,0)</f>
        <v>0</v>
      </c>
      <c r="N66" s="507">
        <f ca="1">IFERROR('D. Annual Schedule Tables'!N115/N25,0)</f>
        <v>0</v>
      </c>
      <c r="O66" s="507">
        <f ca="1">IFERROR('D. Annual Schedule Tables'!O115/O25,0)</f>
        <v>0</v>
      </c>
      <c r="P66" s="467">
        <f t="shared" ca="1" si="7"/>
        <v>0</v>
      </c>
    </row>
    <row r="67" spans="3:16" s="1" customFormat="1" hidden="1" outlineLevel="1" x14ac:dyDescent="0.3">
      <c r="C67" s="432" t="s">
        <v>676</v>
      </c>
      <c r="E67" s="507">
        <f ca="1">IFERROR('D. Annual Schedule Tables'!E116/E25,0)</f>
        <v>0</v>
      </c>
      <c r="F67" s="507">
        <f ca="1">IFERROR('D. Annual Schedule Tables'!F116/F25,0)</f>
        <v>0</v>
      </c>
      <c r="G67" s="507">
        <f ca="1">IFERROR('D. Annual Schedule Tables'!G116/G25,0)</f>
        <v>0</v>
      </c>
      <c r="H67" s="507">
        <f ca="1">IFERROR('D. Annual Schedule Tables'!H116/H25,0)</f>
        <v>0</v>
      </c>
      <c r="I67" s="507">
        <f ca="1">IFERROR('D. Annual Schedule Tables'!I116/I25,0)</f>
        <v>0</v>
      </c>
      <c r="J67" s="507">
        <f ca="1">IFERROR('D. Annual Schedule Tables'!J116/J25,0)</f>
        <v>0</v>
      </c>
      <c r="K67" s="507">
        <f ca="1">IFERROR('D. Annual Schedule Tables'!K116/K25,0)</f>
        <v>0</v>
      </c>
      <c r="L67" s="507">
        <f ca="1">IFERROR('D. Annual Schedule Tables'!L116/L25,0)</f>
        <v>0</v>
      </c>
      <c r="M67" s="507">
        <f ca="1">IFERROR('D. Annual Schedule Tables'!M116/M25,0)</f>
        <v>0</v>
      </c>
      <c r="N67" s="507">
        <f ca="1">IFERROR('D. Annual Schedule Tables'!N116/N25,0)</f>
        <v>0</v>
      </c>
      <c r="O67" s="507">
        <f ca="1">IFERROR('D. Annual Schedule Tables'!O116/O25,0)</f>
        <v>0</v>
      </c>
      <c r="P67" s="467">
        <f t="shared" ca="1" si="7"/>
        <v>0</v>
      </c>
    </row>
    <row r="68" spans="3:16" s="1" customFormat="1" hidden="1" outlineLevel="1" x14ac:dyDescent="0.3">
      <c r="C68" s="432" t="s">
        <v>677</v>
      </c>
      <c r="E68" s="507">
        <f ca="1">IFERROR('D. Annual Schedule Tables'!E117/E25,0)</f>
        <v>0</v>
      </c>
      <c r="F68" s="507">
        <f ca="1">IFERROR('D. Annual Schedule Tables'!F117/F25,0)</f>
        <v>0</v>
      </c>
      <c r="G68" s="507">
        <f ca="1">IFERROR('D. Annual Schedule Tables'!G117/G25,0)</f>
        <v>0</v>
      </c>
      <c r="H68" s="507">
        <f ca="1">IFERROR('D. Annual Schedule Tables'!H117/H25,0)</f>
        <v>0</v>
      </c>
      <c r="I68" s="507">
        <f ca="1">IFERROR('D. Annual Schedule Tables'!I117/I25,0)</f>
        <v>0</v>
      </c>
      <c r="J68" s="507">
        <f ca="1">IFERROR('D. Annual Schedule Tables'!J117/J25,0)</f>
        <v>0</v>
      </c>
      <c r="K68" s="507">
        <f ca="1">IFERROR('D. Annual Schedule Tables'!K117/K25,0)</f>
        <v>0</v>
      </c>
      <c r="L68" s="507">
        <f ca="1">IFERROR('D. Annual Schedule Tables'!L117/L25,0)</f>
        <v>0</v>
      </c>
      <c r="M68" s="507">
        <f ca="1">IFERROR('D. Annual Schedule Tables'!M117/M25,0)</f>
        <v>0</v>
      </c>
      <c r="N68" s="507">
        <f ca="1">IFERROR('D. Annual Schedule Tables'!N117/N25,0)</f>
        <v>0</v>
      </c>
      <c r="O68" s="507">
        <f ca="1">IFERROR('D. Annual Schedule Tables'!O117/O25,0)</f>
        <v>0</v>
      </c>
      <c r="P68" s="467">
        <f t="shared" ca="1" si="7"/>
        <v>0</v>
      </c>
    </row>
    <row r="69" spans="3:16" s="1" customFormat="1" collapsed="1" x14ac:dyDescent="0.3">
      <c r="C69" s="1" t="s">
        <v>673</v>
      </c>
      <c r="E69" s="506">
        <f ca="1">IFERROR('D. Annual Schedule Tables'!E118/E25,0)</f>
        <v>0</v>
      </c>
      <c r="F69" s="506">
        <f ca="1">IFERROR('D. Annual Schedule Tables'!F118/F25,0)</f>
        <v>0</v>
      </c>
      <c r="G69" s="506">
        <f ca="1">IFERROR('D. Annual Schedule Tables'!G118/G25,0)</f>
        <v>0</v>
      </c>
      <c r="H69" s="506">
        <f ca="1">IFERROR('D. Annual Schedule Tables'!H118/H25,0)</f>
        <v>0</v>
      </c>
      <c r="I69" s="506">
        <f ca="1">IFERROR('D. Annual Schedule Tables'!I118/I25,0)</f>
        <v>0</v>
      </c>
      <c r="J69" s="506">
        <f ca="1">IFERROR('D. Annual Schedule Tables'!J118/J25,0)</f>
        <v>0</v>
      </c>
      <c r="K69" s="506">
        <f ca="1">IFERROR('D. Annual Schedule Tables'!K118/K25,0)</f>
        <v>0</v>
      </c>
      <c r="L69" s="506">
        <f ca="1">IFERROR('D. Annual Schedule Tables'!L118/L25,0)</f>
        <v>0</v>
      </c>
      <c r="M69" s="506">
        <f ca="1">IFERROR('D. Annual Schedule Tables'!M118/M25,0)</f>
        <v>0</v>
      </c>
      <c r="N69" s="506">
        <f ca="1">IFERROR('D. Annual Schedule Tables'!N118/N25,0)</f>
        <v>0</v>
      </c>
      <c r="O69" s="506">
        <f ca="1">IFERROR('D. Annual Schedule Tables'!O118/O25,0)</f>
        <v>0</v>
      </c>
      <c r="P69" s="474">
        <f t="shared" ca="1" si="7"/>
        <v>0</v>
      </c>
    </row>
    <row r="70" spans="3:16" s="1" customFormat="1" hidden="1" outlineLevel="1" x14ac:dyDescent="0.3">
      <c r="C70" s="483" t="s">
        <v>735</v>
      </c>
      <c r="E70" s="501">
        <f ca="1">IFERROR(E66*'B. Implementation Plan'!P43/52,0)</f>
        <v>0</v>
      </c>
      <c r="F70" s="501">
        <f ca="1">IFERROR(F66*'B. Implementation Plan'!P43/52,0)</f>
        <v>0</v>
      </c>
      <c r="G70" s="501">
        <f ca="1">IFERROR(G66*'B. Implementation Plan'!P43/52,0)</f>
        <v>0</v>
      </c>
      <c r="H70" s="501">
        <f ca="1">IFERROR(H66*'B. Implementation Plan'!P43/52,0)</f>
        <v>0</v>
      </c>
      <c r="I70" s="501">
        <f ca="1">IFERROR(I66*'B. Implementation Plan'!P43/52,0)</f>
        <v>0</v>
      </c>
      <c r="J70" s="501">
        <f ca="1">IFERROR(J66*'B. Implementation Plan'!P43/52,0)</f>
        <v>0</v>
      </c>
      <c r="K70" s="501">
        <f ca="1">IFERROR(K66*'B. Implementation Plan'!P43/52,0)</f>
        <v>0</v>
      </c>
      <c r="L70" s="501">
        <f ca="1">IFERROR(L66*'B. Implementation Plan'!P43/52,0)</f>
        <v>0</v>
      </c>
      <c r="M70" s="501">
        <f ca="1">IFERROR(M66*'B. Implementation Plan'!P43/52,0)</f>
        <v>0</v>
      </c>
      <c r="N70" s="501">
        <f ca="1">IFERROR(N66*'B. Implementation Plan'!P43/52,0)</f>
        <v>0</v>
      </c>
      <c r="O70" s="501">
        <f ca="1">IFERROR(O66*'B. Implementation Plan'!P43/52,0)</f>
        <v>0</v>
      </c>
      <c r="P70" s="467">
        <f t="shared" ref="P70:P78" ca="1" si="27">IF(O70=0,IF(N70=0,IF(M70=0,IF(L70=0,IF(K70=0,IF(J70=0,IF(I70=0,IF(H70=0,IF(G70=0,IF(F70=0,E70,F70),G70),H70),I70),J70),K70),L70),M70),N70),O70)</f>
        <v>0</v>
      </c>
    </row>
    <row r="71" spans="3:16" s="1" customFormat="1" hidden="1" outlineLevel="1" x14ac:dyDescent="0.3">
      <c r="C71" s="483" t="s">
        <v>736</v>
      </c>
      <c r="E71" s="501">
        <f ca="1">IFERROR(E67*'B. Implementation Plan'!P44/52,0)</f>
        <v>0</v>
      </c>
      <c r="F71" s="501">
        <f ca="1">IFERROR(F67*'B. Implementation Plan'!P44/52,0)</f>
        <v>0</v>
      </c>
      <c r="G71" s="501">
        <f ca="1">IFERROR(G67*'B. Implementation Plan'!P44/52,0)</f>
        <v>0</v>
      </c>
      <c r="H71" s="501">
        <f ca="1">IFERROR(H67*'B. Implementation Plan'!P44/52,0)</f>
        <v>0</v>
      </c>
      <c r="I71" s="501">
        <f ca="1">IFERROR(I67*'B. Implementation Plan'!P44/52,0)</f>
        <v>0</v>
      </c>
      <c r="J71" s="501">
        <f ca="1">IFERROR(J67*'B. Implementation Plan'!P44/52,0)</f>
        <v>0</v>
      </c>
      <c r="K71" s="501">
        <f ca="1">IFERROR(K67*'B. Implementation Plan'!P44/52,0)</f>
        <v>0</v>
      </c>
      <c r="L71" s="501">
        <f ca="1">IFERROR(L67*'B. Implementation Plan'!P44/52,0)</f>
        <v>0</v>
      </c>
      <c r="M71" s="501">
        <f ca="1">IFERROR(M67*'B. Implementation Plan'!P44/52,0)</f>
        <v>0</v>
      </c>
      <c r="N71" s="501">
        <f ca="1">IFERROR(N67*'B. Implementation Plan'!P44/52,0)</f>
        <v>0</v>
      </c>
      <c r="O71" s="501">
        <f ca="1">IFERROR(O67*'B. Implementation Plan'!P44/52,0)</f>
        <v>0</v>
      </c>
      <c r="P71" s="467">
        <f t="shared" ca="1" si="27"/>
        <v>0</v>
      </c>
    </row>
    <row r="72" spans="3:16" s="1" customFormat="1" hidden="1" outlineLevel="1" x14ac:dyDescent="0.3">
      <c r="C72" s="483" t="s">
        <v>737</v>
      </c>
      <c r="E72" s="501">
        <f ca="1">IFERROR(E68*'B. Implementation Plan'!P45/52,0)</f>
        <v>0</v>
      </c>
      <c r="F72" s="501">
        <f ca="1">IFERROR(F68*'B. Implementation Plan'!P45/52,0)</f>
        <v>0</v>
      </c>
      <c r="G72" s="501">
        <f ca="1">IFERROR(G68*'B. Implementation Plan'!P45/52,0)</f>
        <v>0</v>
      </c>
      <c r="H72" s="501">
        <f ca="1">IFERROR(H68*'B. Implementation Plan'!P45/52,0)</f>
        <v>0</v>
      </c>
      <c r="I72" s="501">
        <f ca="1">IFERROR(I68*'B. Implementation Plan'!P45/52,0)</f>
        <v>0</v>
      </c>
      <c r="J72" s="501">
        <f ca="1">IFERROR(J68*'B. Implementation Plan'!P45/52,0)</f>
        <v>0</v>
      </c>
      <c r="K72" s="501">
        <f ca="1">IFERROR(K68*'B. Implementation Plan'!P45/52,0)</f>
        <v>0</v>
      </c>
      <c r="L72" s="501">
        <f ca="1">IFERROR(L68*'B. Implementation Plan'!P45/52,0)</f>
        <v>0</v>
      </c>
      <c r="M72" s="501">
        <f ca="1">IFERROR(M68*'B. Implementation Plan'!P45/52,0)</f>
        <v>0</v>
      </c>
      <c r="N72" s="501">
        <f ca="1">IFERROR(N68*'B. Implementation Plan'!P45/52,0)</f>
        <v>0</v>
      </c>
      <c r="O72" s="501">
        <f ca="1">IFERROR(O68*'B. Implementation Plan'!P45/52,0)</f>
        <v>0</v>
      </c>
      <c r="P72" s="467">
        <f t="shared" ca="1" si="27"/>
        <v>0</v>
      </c>
    </row>
    <row r="73" spans="3:16" s="1" customFormat="1" collapsed="1" x14ac:dyDescent="0.3">
      <c r="C73" s="409" t="s">
        <v>811</v>
      </c>
      <c r="E73" s="472">
        <f ca="1">IFERROR(SUMPRODUCT(E66:E68,'B. Implementation Plan'!P43:P45)/52,0)</f>
        <v>0</v>
      </c>
      <c r="F73" s="472">
        <f ca="1">IFERROR(SUMPRODUCT(F66:F68,'B. Implementation Plan'!P43:P45)/52,0)</f>
        <v>0</v>
      </c>
      <c r="G73" s="472">
        <f ca="1">IFERROR(SUMPRODUCT(G66:G68,'B. Implementation Plan'!P43:P45)/52,0)</f>
        <v>0</v>
      </c>
      <c r="H73" s="472">
        <f ca="1">IFERROR(SUMPRODUCT(H66:H68,'B. Implementation Plan'!P43:P45)/52,0)</f>
        <v>0</v>
      </c>
      <c r="I73" s="472">
        <f ca="1">IFERROR(SUMPRODUCT(I66:I68,'B. Implementation Plan'!P43:P45)/52,0)</f>
        <v>0</v>
      </c>
      <c r="J73" s="472">
        <f ca="1">IFERROR(SUMPRODUCT(J66:J68,'B. Implementation Plan'!P43:P45)/52,0)</f>
        <v>0</v>
      </c>
      <c r="K73" s="472">
        <f ca="1">IFERROR(SUMPRODUCT(K66:K68,'B. Implementation Plan'!P43:P45)/52,0)</f>
        <v>0</v>
      </c>
      <c r="L73" s="472">
        <f ca="1">IFERROR(SUMPRODUCT(L66:L68,'B. Implementation Plan'!P43:P45)/52,0)</f>
        <v>0</v>
      </c>
      <c r="M73" s="472">
        <f ca="1">IFERROR(SUMPRODUCT(M66:M68,'B. Implementation Plan'!P43:P45)/52,0)</f>
        <v>0</v>
      </c>
      <c r="N73" s="472">
        <f ca="1">IFERROR(SUMPRODUCT(N66:N68,'B. Implementation Plan'!P43:P45)/52,0)</f>
        <v>0</v>
      </c>
      <c r="O73" s="472">
        <f ca="1">IFERROR(SUMPRODUCT(O66:O68,'B. Implementation Plan'!P43:P45)/52,0)</f>
        <v>0</v>
      </c>
      <c r="P73" s="474">
        <f t="shared" ca="1" si="27"/>
        <v>0</v>
      </c>
    </row>
    <row r="74" spans="3:16" s="1" customFormat="1" hidden="1" outlineLevel="1" x14ac:dyDescent="0.3">
      <c r="C74" s="433" t="s">
        <v>654</v>
      </c>
      <c r="E74" s="465">
        <f ca="1">IFERROR('D. Annual Schedule Tables'!E711/(E69*E25),0)</f>
        <v>0</v>
      </c>
      <c r="F74" s="465">
        <f ca="1">IFERROR('D. Annual Schedule Tables'!F711/(F69*F25),0)</f>
        <v>0</v>
      </c>
      <c r="G74" s="465">
        <f ca="1">IFERROR('D. Annual Schedule Tables'!G711/(G69*G25),0)</f>
        <v>0</v>
      </c>
      <c r="H74" s="465">
        <f ca="1">IFERROR('D. Annual Schedule Tables'!H711/(H69*H25),0)</f>
        <v>0</v>
      </c>
      <c r="I74" s="465">
        <f ca="1">IFERROR('D. Annual Schedule Tables'!I711/(I69*I25),0)</f>
        <v>0</v>
      </c>
      <c r="J74" s="465">
        <f ca="1">IFERROR('D. Annual Schedule Tables'!J711/(J69*J25),0)</f>
        <v>0</v>
      </c>
      <c r="K74" s="465">
        <f ca="1">IFERROR('D. Annual Schedule Tables'!K711/(K69*K25),0)</f>
        <v>0</v>
      </c>
      <c r="L74" s="465">
        <f ca="1">IFERROR('D. Annual Schedule Tables'!L711/(L69*L25),0)</f>
        <v>0</v>
      </c>
      <c r="M74" s="465">
        <f ca="1">IFERROR('D. Annual Schedule Tables'!M711/(M69*M25),0)</f>
        <v>0</v>
      </c>
      <c r="N74" s="465">
        <f ca="1">IFERROR('D. Annual Schedule Tables'!N711/(N69*N25),0)</f>
        <v>0</v>
      </c>
      <c r="O74" s="465">
        <f ca="1">IFERROR('D. Annual Schedule Tables'!O711/(O69*O25),0)</f>
        <v>0</v>
      </c>
      <c r="P74" s="466">
        <f t="shared" ca="1" si="27"/>
        <v>0</v>
      </c>
    </row>
    <row r="75" spans="3:16" s="1" customFormat="1" hidden="1" outlineLevel="1" x14ac:dyDescent="0.3">
      <c r="C75" s="483" t="s">
        <v>738</v>
      </c>
      <c r="E75" s="502">
        <f ca="1">IFERROR(E74*E70,0)</f>
        <v>0</v>
      </c>
      <c r="F75" s="502">
        <f t="shared" ref="F75:O75" ca="1" si="28">IFERROR(F74*F70,0)</f>
        <v>0</v>
      </c>
      <c r="G75" s="502">
        <f t="shared" ca="1" si="28"/>
        <v>0</v>
      </c>
      <c r="H75" s="502">
        <f t="shared" ca="1" si="28"/>
        <v>0</v>
      </c>
      <c r="I75" s="502">
        <f t="shared" ca="1" si="28"/>
        <v>0</v>
      </c>
      <c r="J75" s="502">
        <f t="shared" ca="1" si="28"/>
        <v>0</v>
      </c>
      <c r="K75" s="502">
        <f t="shared" ca="1" si="28"/>
        <v>0</v>
      </c>
      <c r="L75" s="502">
        <f t="shared" ca="1" si="28"/>
        <v>0</v>
      </c>
      <c r="M75" s="502">
        <f t="shared" ca="1" si="28"/>
        <v>0</v>
      </c>
      <c r="N75" s="502">
        <f t="shared" ca="1" si="28"/>
        <v>0</v>
      </c>
      <c r="O75" s="502">
        <f t="shared" ca="1" si="28"/>
        <v>0</v>
      </c>
      <c r="P75" s="467">
        <f t="shared" ca="1" si="27"/>
        <v>0</v>
      </c>
    </row>
    <row r="76" spans="3:16" s="1" customFormat="1" hidden="1" outlineLevel="1" x14ac:dyDescent="0.3">
      <c r="C76" s="483" t="s">
        <v>739</v>
      </c>
      <c r="E76" s="502">
        <f ca="1">IFERROR(E74*E71,0)</f>
        <v>0</v>
      </c>
      <c r="F76" s="502">
        <f t="shared" ref="F76:O76" ca="1" si="29">IFERROR(F74*F71,0)</f>
        <v>0</v>
      </c>
      <c r="G76" s="502">
        <f t="shared" ca="1" si="29"/>
        <v>0</v>
      </c>
      <c r="H76" s="502">
        <f t="shared" ca="1" si="29"/>
        <v>0</v>
      </c>
      <c r="I76" s="502">
        <f t="shared" ca="1" si="29"/>
        <v>0</v>
      </c>
      <c r="J76" s="502">
        <f t="shared" ca="1" si="29"/>
        <v>0</v>
      </c>
      <c r="K76" s="502">
        <f t="shared" ca="1" si="29"/>
        <v>0</v>
      </c>
      <c r="L76" s="502">
        <f t="shared" ca="1" si="29"/>
        <v>0</v>
      </c>
      <c r="M76" s="502">
        <f t="shared" ca="1" si="29"/>
        <v>0</v>
      </c>
      <c r="N76" s="502">
        <f t="shared" ca="1" si="29"/>
        <v>0</v>
      </c>
      <c r="O76" s="502">
        <f t="shared" ca="1" si="29"/>
        <v>0</v>
      </c>
      <c r="P76" s="467">
        <f t="shared" ca="1" si="27"/>
        <v>0</v>
      </c>
    </row>
    <row r="77" spans="3:16" s="1" customFormat="1" hidden="1" outlineLevel="1" x14ac:dyDescent="0.3">
      <c r="C77" s="483" t="s">
        <v>740</v>
      </c>
      <c r="E77" s="502">
        <f ca="1">IFERROR(E74*E72,0)</f>
        <v>0</v>
      </c>
      <c r="F77" s="502">
        <f t="shared" ref="F77:O77" ca="1" si="30">IFERROR(F74*F72,0)</f>
        <v>0</v>
      </c>
      <c r="G77" s="502">
        <f t="shared" ca="1" si="30"/>
        <v>0</v>
      </c>
      <c r="H77" s="502">
        <f t="shared" ca="1" si="30"/>
        <v>0</v>
      </c>
      <c r="I77" s="502">
        <f t="shared" ca="1" si="30"/>
        <v>0</v>
      </c>
      <c r="J77" s="502">
        <f t="shared" ca="1" si="30"/>
        <v>0</v>
      </c>
      <c r="K77" s="502">
        <f t="shared" ca="1" si="30"/>
        <v>0</v>
      </c>
      <c r="L77" s="502">
        <f t="shared" ca="1" si="30"/>
        <v>0</v>
      </c>
      <c r="M77" s="502">
        <f t="shared" ca="1" si="30"/>
        <v>0</v>
      </c>
      <c r="N77" s="502">
        <f t="shared" ca="1" si="30"/>
        <v>0</v>
      </c>
      <c r="O77" s="502">
        <f t="shared" ca="1" si="30"/>
        <v>0</v>
      </c>
      <c r="P77" s="467">
        <f t="shared" ca="1" si="27"/>
        <v>0</v>
      </c>
    </row>
    <row r="78" spans="3:16" collapsed="1" x14ac:dyDescent="0.3">
      <c r="C78" s="433" t="s">
        <v>658</v>
      </c>
      <c r="E78" s="468">
        <f t="shared" ref="E78:O78" ca="1" si="31">IFERROR(E74*E73,0)</f>
        <v>0</v>
      </c>
      <c r="F78" s="468">
        <f t="shared" ca="1" si="31"/>
        <v>0</v>
      </c>
      <c r="G78" s="468">
        <f t="shared" ca="1" si="31"/>
        <v>0</v>
      </c>
      <c r="H78" s="468">
        <f t="shared" ca="1" si="31"/>
        <v>0</v>
      </c>
      <c r="I78" s="468">
        <f t="shared" ca="1" si="31"/>
        <v>0</v>
      </c>
      <c r="J78" s="468">
        <f t="shared" ca="1" si="31"/>
        <v>0</v>
      </c>
      <c r="K78" s="468">
        <f t="shared" ca="1" si="31"/>
        <v>0</v>
      </c>
      <c r="L78" s="468">
        <f t="shared" ca="1" si="31"/>
        <v>0</v>
      </c>
      <c r="M78" s="468">
        <f t="shared" ca="1" si="31"/>
        <v>0</v>
      </c>
      <c r="N78" s="468">
        <f t="shared" ca="1" si="31"/>
        <v>0</v>
      </c>
      <c r="O78" s="471">
        <f t="shared" ca="1" si="31"/>
        <v>0</v>
      </c>
      <c r="P78" s="467">
        <f t="shared" ca="1" si="27"/>
        <v>0</v>
      </c>
    </row>
    <row r="79" spans="3:16" x14ac:dyDescent="0.3">
      <c r="C79" s="470" t="s">
        <v>674</v>
      </c>
      <c r="E79" s="468">
        <f ca="1">IF(E25&gt;0,'B. Implementation Plan'!L364,0)</f>
        <v>0</v>
      </c>
      <c r="F79" s="468">
        <f ca="1">IF(F25&gt;0,'B. Implementation Plan'!L364,0)</f>
        <v>0</v>
      </c>
      <c r="G79" s="468">
        <f ca="1">IF(G25&gt;0,'B. Implementation Plan'!L364,0)</f>
        <v>0</v>
      </c>
      <c r="H79" s="468">
        <f ca="1">IF(H25&gt;0,'B. Implementation Plan'!L364,0)</f>
        <v>0</v>
      </c>
      <c r="I79" s="468">
        <f ca="1">IF(I25&gt;0,'B. Implementation Plan'!L364,0)</f>
        <v>0</v>
      </c>
      <c r="J79" s="468">
        <f ca="1">IF(J25&gt;0,'B. Implementation Plan'!L364,0)</f>
        <v>0</v>
      </c>
      <c r="K79" s="468">
        <f ca="1">IF(K25&gt;0,'B. Implementation Plan'!L364,0)</f>
        <v>0</v>
      </c>
      <c r="L79" s="468">
        <f ca="1">IF(L25&gt;0,'B. Implementation Plan'!L364,0)</f>
        <v>0</v>
      </c>
      <c r="M79" s="468">
        <f ca="1">IF(M25&gt;0,'B. Implementation Plan'!L364,0)</f>
        <v>0</v>
      </c>
      <c r="N79" s="468">
        <f ca="1">IF(N25&gt;0,'B. Implementation Plan'!L364,0)</f>
        <v>0</v>
      </c>
      <c r="O79" s="468">
        <f ca="1">IF(O25&gt;0,'B. Implementation Plan'!L364,0)</f>
        <v>0</v>
      </c>
      <c r="P79" s="467">
        <f ca="1">IF(O79=0,IF(N79=0,IF(M79=0,IF(L79=0,IF(K79=0,IF(J79=0,IF(I79=0,IF(H79=0,IF(G79=0,IF(F79=0,E79,F79),G79),H79),I79),J79),K79),L79),M79),N79),O79)</f>
        <v>0</v>
      </c>
    </row>
    <row r="80" spans="3:16" x14ac:dyDescent="0.3">
      <c r="C80" s="470" t="s">
        <v>836</v>
      </c>
      <c r="E80" s="468">
        <f ca="1">IF(E25&gt;0,'B. Implementation Plan'!L363,0)</f>
        <v>0</v>
      </c>
      <c r="F80" s="468">
        <f ca="1">IF(F25&gt;0,'B. Implementation Plan'!L363,0)</f>
        <v>0</v>
      </c>
      <c r="G80" s="468">
        <f ca="1">IF(G25&gt;0,'B. Implementation Plan'!L363,0)</f>
        <v>0</v>
      </c>
      <c r="H80" s="468">
        <f ca="1">IF(H25&gt;0,'B. Implementation Plan'!L363,0)</f>
        <v>0</v>
      </c>
      <c r="I80" s="468">
        <f ca="1">IF(I25&gt;0,'B. Implementation Plan'!L363,0)</f>
        <v>0</v>
      </c>
      <c r="J80" s="468">
        <f ca="1">IF(J25&gt;0,'B. Implementation Plan'!L363,0)</f>
        <v>0</v>
      </c>
      <c r="K80" s="468">
        <f ca="1">IF(K25&gt;0,'B. Implementation Plan'!L363,0)</f>
        <v>0</v>
      </c>
      <c r="L80" s="468">
        <f ca="1">IF(L25&gt;0,'B. Implementation Plan'!L363,0)</f>
        <v>0</v>
      </c>
      <c r="M80" s="468">
        <f ca="1">IF(M25&gt;0,'B. Implementation Plan'!L363,0)</f>
        <v>0</v>
      </c>
      <c r="N80" s="468">
        <f ca="1">IF(N25&gt;0,'B. Implementation Plan'!L363,0)</f>
        <v>0</v>
      </c>
      <c r="O80" s="468">
        <f ca="1">IF(O25&gt;0,'B. Implementation Plan'!L363,0)</f>
        <v>0</v>
      </c>
      <c r="P80" s="467">
        <f t="shared" ref="P80:P83" ca="1" si="32">IF(O80=0,IF(N80=0,IF(M80=0,IF(L80=0,IF(K80=0,IF(J80=0,IF(I80=0,IF(H80=0,IF(G80=0,IF(F80=0,E80,F80),G80),H80),I80),J80),K80),L80),M80),N80),O80)</f>
        <v>0</v>
      </c>
    </row>
    <row r="81" spans="1:16" s="1" customFormat="1" x14ac:dyDescent="0.3">
      <c r="C81" s="409" t="s">
        <v>681</v>
      </c>
      <c r="E81" s="472">
        <f t="shared" ref="E81:O81" ca="1" si="33">E45+E73+SUM(E79:E80)</f>
        <v>0</v>
      </c>
      <c r="F81" s="472">
        <f t="shared" ca="1" si="33"/>
        <v>0</v>
      </c>
      <c r="G81" s="472">
        <f t="shared" ca="1" si="33"/>
        <v>0</v>
      </c>
      <c r="H81" s="472">
        <f t="shared" ca="1" si="33"/>
        <v>0</v>
      </c>
      <c r="I81" s="472">
        <f t="shared" ca="1" si="33"/>
        <v>0</v>
      </c>
      <c r="J81" s="472">
        <f t="shared" ca="1" si="33"/>
        <v>0</v>
      </c>
      <c r="K81" s="472">
        <f t="shared" ca="1" si="33"/>
        <v>0</v>
      </c>
      <c r="L81" s="472">
        <f t="shared" ca="1" si="33"/>
        <v>0</v>
      </c>
      <c r="M81" s="472">
        <f t="shared" ca="1" si="33"/>
        <v>0</v>
      </c>
      <c r="N81" s="472">
        <f t="shared" ca="1" si="33"/>
        <v>0</v>
      </c>
      <c r="O81" s="472">
        <f t="shared" ca="1" si="33"/>
        <v>0</v>
      </c>
      <c r="P81" s="474">
        <f t="shared" ca="1" si="32"/>
        <v>0</v>
      </c>
    </row>
    <row r="82" spans="1:16" s="1" customFormat="1" x14ac:dyDescent="0.3">
      <c r="C82" s="470" t="s">
        <v>751</v>
      </c>
      <c r="E82" s="372">
        <f ca="1">IFERROR('D. Annual Schedule Tables'!E727/E25,0)</f>
        <v>0</v>
      </c>
      <c r="F82" s="372">
        <f ca="1">IFERROR('D. Annual Schedule Tables'!F727/F25,0)</f>
        <v>0</v>
      </c>
      <c r="G82" s="372">
        <f ca="1">IFERROR('D. Annual Schedule Tables'!G727/G25,0)</f>
        <v>0</v>
      </c>
      <c r="H82" s="372">
        <f ca="1">IFERROR('D. Annual Schedule Tables'!H727/H25,0)</f>
        <v>0</v>
      </c>
      <c r="I82" s="372">
        <f ca="1">IFERROR('D. Annual Schedule Tables'!I727/I25,0)</f>
        <v>0</v>
      </c>
      <c r="J82" s="372">
        <f ca="1">IFERROR('D. Annual Schedule Tables'!J727/J25,0)</f>
        <v>0</v>
      </c>
      <c r="K82" s="372">
        <f ca="1">IFERROR('D. Annual Schedule Tables'!K727/K25,0)</f>
        <v>0</v>
      </c>
      <c r="L82" s="372">
        <f ca="1">IFERROR('D. Annual Schedule Tables'!L727/L25,0)</f>
        <v>0</v>
      </c>
      <c r="M82" s="372">
        <f ca="1">IFERROR('D. Annual Schedule Tables'!M727/M25,0)</f>
        <v>0</v>
      </c>
      <c r="N82" s="372">
        <f ca="1">IFERROR('D. Annual Schedule Tables'!N727/N25,0)</f>
        <v>0</v>
      </c>
      <c r="O82" s="372">
        <f ca="1">IFERROR('D. Annual Schedule Tables'!O727/O25,0)</f>
        <v>0</v>
      </c>
      <c r="P82" s="434">
        <f t="shared" ca="1" si="32"/>
        <v>0</v>
      </c>
    </row>
    <row r="83" spans="1:16" s="1" customFormat="1" ht="15" thickBot="1" x14ac:dyDescent="0.35">
      <c r="C83" s="470" t="s">
        <v>810</v>
      </c>
      <c r="E83" s="468">
        <f t="shared" ref="E83:O83" ca="1" si="34">E45+E73+E79</f>
        <v>0</v>
      </c>
      <c r="F83" s="468">
        <f t="shared" ca="1" si="34"/>
        <v>0</v>
      </c>
      <c r="G83" s="468">
        <f t="shared" ca="1" si="34"/>
        <v>0</v>
      </c>
      <c r="H83" s="468">
        <f t="shared" ca="1" si="34"/>
        <v>0</v>
      </c>
      <c r="I83" s="468">
        <f t="shared" ca="1" si="34"/>
        <v>0</v>
      </c>
      <c r="J83" s="468">
        <f t="shared" ca="1" si="34"/>
        <v>0</v>
      </c>
      <c r="K83" s="468">
        <f t="shared" ca="1" si="34"/>
        <v>0</v>
      </c>
      <c r="L83" s="468">
        <f t="shared" ca="1" si="34"/>
        <v>0</v>
      </c>
      <c r="M83" s="468">
        <f t="shared" ca="1" si="34"/>
        <v>0</v>
      </c>
      <c r="N83" s="468">
        <f t="shared" ca="1" si="34"/>
        <v>0</v>
      </c>
      <c r="O83" s="468">
        <f t="shared" ca="1" si="34"/>
        <v>0</v>
      </c>
      <c r="P83" s="536">
        <f t="shared" ca="1" si="32"/>
        <v>0</v>
      </c>
    </row>
    <row r="84" spans="1:16" x14ac:dyDescent="0.3">
      <c r="P84"/>
    </row>
    <row r="85" spans="1:16" ht="18" x14ac:dyDescent="0.35">
      <c r="A85" s="239" t="s">
        <v>797</v>
      </c>
      <c r="B85" s="240"/>
      <c r="C85" s="241"/>
    </row>
    <row r="86" spans="1:16" x14ac:dyDescent="0.3">
      <c r="P86"/>
    </row>
    <row r="87" spans="1:16" ht="16.2" thickBot="1" x14ac:dyDescent="0.35">
      <c r="B87" s="253" t="s">
        <v>690</v>
      </c>
      <c r="C87" s="254"/>
      <c r="E87" s="469"/>
      <c r="P87"/>
    </row>
    <row r="88" spans="1:16" s="365" customFormat="1" ht="14.55" customHeight="1" x14ac:dyDescent="0.3">
      <c r="A88" s="1"/>
      <c r="B88" s="62"/>
      <c r="D88" s="394"/>
      <c r="E88" s="294">
        <v>0</v>
      </c>
      <c r="F88" s="294">
        <v>1</v>
      </c>
      <c r="G88" s="294">
        <v>2</v>
      </c>
      <c r="H88" s="294">
        <v>3</v>
      </c>
      <c r="I88" s="294">
        <v>4</v>
      </c>
      <c r="J88" s="294">
        <v>5</v>
      </c>
      <c r="K88" s="294">
        <v>6</v>
      </c>
      <c r="L88" s="294">
        <v>7</v>
      </c>
      <c r="M88" s="294">
        <v>8</v>
      </c>
      <c r="N88" s="294">
        <v>9</v>
      </c>
      <c r="O88" s="295">
        <v>10</v>
      </c>
      <c r="P88" s="395" t="s">
        <v>2</v>
      </c>
    </row>
    <row r="89" spans="1:16" x14ac:dyDescent="0.3">
      <c r="C89" s="396" t="s">
        <v>901</v>
      </c>
      <c r="E89" s="482">
        <f ca="1">E50*'B. Implementation Plan'!P370*2080*(1+E19)^E88</f>
        <v>0</v>
      </c>
      <c r="F89" s="482">
        <f ca="1">F50*'B. Implementation Plan'!P370*2080*(1+E19)^F88</f>
        <v>0</v>
      </c>
      <c r="G89" s="482">
        <f ca="1">G50*'B. Implementation Plan'!P370*2080*(1+E19)^G88</f>
        <v>0</v>
      </c>
      <c r="H89" s="482">
        <f ca="1">H50*'B. Implementation Plan'!P370*2080*(1+E19)^H88</f>
        <v>0</v>
      </c>
      <c r="I89" s="482">
        <f ca="1">I50*'B. Implementation Plan'!P370*2080*(1+E19)^I88</f>
        <v>0</v>
      </c>
      <c r="J89" s="482">
        <f ca="1">J50*'B. Implementation Plan'!P370*2080*(1+E19)^J88</f>
        <v>0</v>
      </c>
      <c r="K89" s="482">
        <f ca="1">K50*'B. Implementation Plan'!P370*2080*(1+E19)^K88</f>
        <v>0</v>
      </c>
      <c r="L89" s="482">
        <f ca="1">L50*'B. Implementation Plan'!P370*2080*(1+E19)^L88</f>
        <v>0</v>
      </c>
      <c r="M89" s="482">
        <f ca="1">M50*'B. Implementation Plan'!P370*2080*(1+E19)^M88</f>
        <v>0</v>
      </c>
      <c r="N89" s="482">
        <f ca="1">N50*'B. Implementation Plan'!P370*2080*(1+E19)^N88</f>
        <v>0</v>
      </c>
      <c r="O89" s="482">
        <f ca="1">O50*'B. Implementation Plan'!P370*2080*(1+E19)^O88</f>
        <v>0</v>
      </c>
      <c r="P89" s="488">
        <f ca="1">IF(O89=0,IF(N89=0,IF(M89=0,IF(L89=0,IF(K89=0,IF(J89=0,IF(I89=0,IF(H89=0,IF(G89=0,IF(F89=0,E89,F89),G89),H89),I89),J89),K89),L89),M89),N89),O89)</f>
        <v>0</v>
      </c>
    </row>
    <row r="90" spans="1:16" x14ac:dyDescent="0.3">
      <c r="C90" s="396" t="s">
        <v>902</v>
      </c>
      <c r="E90" s="482">
        <f ca="1">E55*'B. Implementation Plan'!P369*2080*(1+E19)^E88</f>
        <v>0</v>
      </c>
      <c r="F90" s="482">
        <f ca="1">F55*'B. Implementation Plan'!P369*2080*(1+E19)^F88</f>
        <v>0</v>
      </c>
      <c r="G90" s="482">
        <f ca="1">G55*'B. Implementation Plan'!P369*2080*(1+E19)^G88</f>
        <v>0</v>
      </c>
      <c r="H90" s="482">
        <f ca="1">H55*'B. Implementation Plan'!P369*2080*(1+E19)^H88</f>
        <v>0</v>
      </c>
      <c r="I90" s="482">
        <f ca="1">I55*'B. Implementation Plan'!P369*2080*(1+E19)^I88</f>
        <v>0</v>
      </c>
      <c r="J90" s="482">
        <f ca="1">J55*'B. Implementation Plan'!P369*2080*(1+E19)^J88</f>
        <v>0</v>
      </c>
      <c r="K90" s="482">
        <f ca="1">K55*'B. Implementation Plan'!P369*2080*(1+E19)^K88</f>
        <v>0</v>
      </c>
      <c r="L90" s="482">
        <f ca="1">L55*'B. Implementation Plan'!P369*2080*(1+E19)^L88</f>
        <v>0</v>
      </c>
      <c r="M90" s="482">
        <f ca="1">M55*'B. Implementation Plan'!P369*2080*(1+E19)^M88</f>
        <v>0</v>
      </c>
      <c r="N90" s="482">
        <f ca="1">N55*'B. Implementation Plan'!P369*2080*(1+E19)^N88</f>
        <v>0</v>
      </c>
      <c r="O90" s="482">
        <f ca="1">O55*'B. Implementation Plan'!P369*2080*(1+E19)^O88</f>
        <v>0</v>
      </c>
      <c r="P90" s="488">
        <f ca="1">IF(O90=0,IF(N90=0,IF(M90=0,IF(L90=0,IF(K90=0,IF(J90=0,IF(I90=0,IF(H90=0,IF(G90=0,IF(F90=0,E90,F90),G90),H90),I90),J90),K90),L90),M90),N90),O90)</f>
        <v>0</v>
      </c>
    </row>
    <row r="91" spans="1:16" x14ac:dyDescent="0.3">
      <c r="C91" s="396" t="s">
        <v>903</v>
      </c>
      <c r="E91" s="482">
        <f ca="1">E60*'B. Implementation Plan'!P368*2080*(1+E19)^E88</f>
        <v>0</v>
      </c>
      <c r="F91" s="482">
        <f ca="1">F60*'B. Implementation Plan'!P368*2080*(1+E19)^F88</f>
        <v>0</v>
      </c>
      <c r="G91" s="482">
        <f ca="1">G60*'B. Implementation Plan'!P368*2080*(1+E19)^G88</f>
        <v>0</v>
      </c>
      <c r="H91" s="482">
        <f ca="1">H60*'B. Implementation Plan'!P368*2080*(1+E19)^H88</f>
        <v>0</v>
      </c>
      <c r="I91" s="482">
        <f ca="1">I60*'B. Implementation Plan'!P368*2080*(1+E19)^I88</f>
        <v>0</v>
      </c>
      <c r="J91" s="482">
        <f ca="1">J60*'B. Implementation Plan'!P368*2080*(1+E19)^J88</f>
        <v>0</v>
      </c>
      <c r="K91" s="482">
        <f ca="1">K60*'B. Implementation Plan'!P368*2080*(1+E19)^K88</f>
        <v>0</v>
      </c>
      <c r="L91" s="482">
        <f ca="1">L60*'B. Implementation Plan'!P368*2080*(1+E19)^L88</f>
        <v>0</v>
      </c>
      <c r="M91" s="482">
        <f ca="1">M60*'B. Implementation Plan'!P368*2080*(1+E19)^M88</f>
        <v>0</v>
      </c>
      <c r="N91" s="482">
        <f ca="1">N60*'B. Implementation Plan'!P368*2080*(1+E19)^N88</f>
        <v>0</v>
      </c>
      <c r="O91" s="482">
        <f ca="1">O60*'B. Implementation Plan'!P368*2080*(1+E19)^O88</f>
        <v>0</v>
      </c>
      <c r="P91" s="488">
        <f ca="1">IF(O91=0,IF(N91=0,IF(M91=0,IF(L91=0,IF(K91=0,IF(J91=0,IF(I91=0,IF(H91=0,IF(G91=0,IF(F91=0,E91,F91),G91),H91),I91),J91),K91),L91),M91),N91),O91)</f>
        <v>0</v>
      </c>
    </row>
    <row r="92" spans="1:16" x14ac:dyDescent="0.3">
      <c r="C92" s="396" t="s">
        <v>678</v>
      </c>
      <c r="E92" s="482">
        <f ca="1">E65*'B. Implementation Plan'!P179*(1+E19)^E88</f>
        <v>0</v>
      </c>
      <c r="F92" s="482">
        <f ca="1">F65*'B. Implementation Plan'!P179*(1+E19)^F88</f>
        <v>0</v>
      </c>
      <c r="G92" s="482">
        <f ca="1">G65*'B. Implementation Plan'!P179*(1+E19)^G88</f>
        <v>0</v>
      </c>
      <c r="H92" s="482">
        <f ca="1">H65*'B. Implementation Plan'!P179*(1+E19)^H88</f>
        <v>0</v>
      </c>
      <c r="I92" s="482">
        <f ca="1">I65*'B. Implementation Plan'!P179*(1+E19)^I88</f>
        <v>0</v>
      </c>
      <c r="J92" s="482">
        <f ca="1">J65*'B. Implementation Plan'!P179*(1+E19)^J88</f>
        <v>0</v>
      </c>
      <c r="K92" s="482">
        <f ca="1">K65*'B. Implementation Plan'!P179*(1+E19)^K88</f>
        <v>0</v>
      </c>
      <c r="L92" s="482">
        <f ca="1">L65*'B. Implementation Plan'!P179*(1+E19)^L88</f>
        <v>0</v>
      </c>
      <c r="M92" s="482">
        <f ca="1">M65*'B. Implementation Plan'!P179*(1+E19)^M88</f>
        <v>0</v>
      </c>
      <c r="N92" s="482">
        <f ca="1">N65*'B. Implementation Plan'!P179*(1+E19)^N88</f>
        <v>0</v>
      </c>
      <c r="O92" s="482">
        <f ca="1">O65*'B. Implementation Plan'!P179*(1+E19)^O88</f>
        <v>0</v>
      </c>
      <c r="P92" s="488">
        <f t="shared" ref="P92:P103" ca="1" si="35">IF(O92=0,IF(N92=0,IF(M92=0,IF(L92=0,IF(K92=0,IF(J92=0,IF(I92=0,IF(H92=0,IF(G92=0,IF(F92=0,E92,F92),G92),H92),I92),J92),K92),L92),M92),N92),O92)</f>
        <v>0</v>
      </c>
    </row>
    <row r="93" spans="1:16" x14ac:dyDescent="0.3">
      <c r="C93" s="396" t="s">
        <v>904</v>
      </c>
      <c r="E93" s="482">
        <f ca="1">E78*'B. Implementation Plan'!P372*2080*(1+E19)^E88</f>
        <v>0</v>
      </c>
      <c r="F93" s="482">
        <f ca="1">F78*'B. Implementation Plan'!P372*2080*(1+E19)^F88</f>
        <v>0</v>
      </c>
      <c r="G93" s="482">
        <f ca="1">G78*'B. Implementation Plan'!P372*2080*(1+E19)^G88</f>
        <v>0</v>
      </c>
      <c r="H93" s="482">
        <f ca="1">H78*'B. Implementation Plan'!P372*2080*(1+E19)^H88</f>
        <v>0</v>
      </c>
      <c r="I93" s="482">
        <f ca="1">I78*'B. Implementation Plan'!P372*2080*(1+E19)^I88</f>
        <v>0</v>
      </c>
      <c r="J93" s="482">
        <f ca="1">J78*'B. Implementation Plan'!P372*2080*(1+E19)^J88</f>
        <v>0</v>
      </c>
      <c r="K93" s="482">
        <f ca="1">K78*'B. Implementation Plan'!P372*2080*(1+E19)^K88</f>
        <v>0</v>
      </c>
      <c r="L93" s="482">
        <f ca="1">L78*'B. Implementation Plan'!P372*2080*(1+E19)^L88</f>
        <v>0</v>
      </c>
      <c r="M93" s="482">
        <f ca="1">M78*'B. Implementation Plan'!P372*2080*(1+E19)^M88</f>
        <v>0</v>
      </c>
      <c r="N93" s="482">
        <f ca="1">N78*'B. Implementation Plan'!P372*2080*(1+E19)^N88</f>
        <v>0</v>
      </c>
      <c r="O93" s="482">
        <f ca="1">O78*'B. Implementation Plan'!P372*2080*(1+E19)^O88</f>
        <v>0</v>
      </c>
      <c r="P93" s="488">
        <f t="shared" ca="1" si="35"/>
        <v>0</v>
      </c>
    </row>
    <row r="94" spans="1:16" x14ac:dyDescent="0.3">
      <c r="C94" s="396" t="s">
        <v>905</v>
      </c>
      <c r="E94" s="482">
        <f ca="1">(E73-E78)*'B. Implementation Plan'!P371*2080*(1+E19)^E88</f>
        <v>0</v>
      </c>
      <c r="F94" s="482">
        <f ca="1">(F73-F78)*'B. Implementation Plan'!P371*2080*(1+E19)^F88</f>
        <v>0</v>
      </c>
      <c r="G94" s="482">
        <f ca="1">(G73-G78)*'B. Implementation Plan'!P371*2080*(1+E19)^G88</f>
        <v>0</v>
      </c>
      <c r="H94" s="482">
        <f ca="1">(H73-H78)*'B. Implementation Plan'!P371*2080*(1+E19)^H88</f>
        <v>0</v>
      </c>
      <c r="I94" s="482">
        <f ca="1">(I73-I78)*'B. Implementation Plan'!P371*2080*(1+E19)^I88</f>
        <v>0</v>
      </c>
      <c r="J94" s="482">
        <f ca="1">(J73-J78)*'B. Implementation Plan'!P371*2080*(1+E19)^J88</f>
        <v>0</v>
      </c>
      <c r="K94" s="482">
        <f ca="1">(K73-K78)*'B. Implementation Plan'!P371*2080*(1+E19)^K88</f>
        <v>0</v>
      </c>
      <c r="L94" s="482">
        <f ca="1">(L73-L78)*'B. Implementation Plan'!P371*2080*(1+E19)^L88</f>
        <v>0</v>
      </c>
      <c r="M94" s="482">
        <f ca="1">(M73-M78)*'B. Implementation Plan'!P371*2080*(1+E19)^M88</f>
        <v>0</v>
      </c>
      <c r="N94" s="482">
        <f ca="1">(N73-N78)*'B. Implementation Plan'!P371*2080*(1+E19)^N88</f>
        <v>0</v>
      </c>
      <c r="O94" s="482">
        <f ca="1">(O73-O78)*'B. Implementation Plan'!P371*2080*(1+E19)^O88</f>
        <v>0</v>
      </c>
      <c r="P94" s="488">
        <f t="shared" ca="1" si="35"/>
        <v>0</v>
      </c>
    </row>
    <row r="95" spans="1:16" x14ac:dyDescent="0.3">
      <c r="C95" s="433" t="s">
        <v>679</v>
      </c>
      <c r="E95" s="482">
        <f ca="1">IF(E25&gt;0,'B. Implementation Plan'!M364*(1+E19)^E88,0)</f>
        <v>0</v>
      </c>
      <c r="F95" s="482">
        <f ca="1">IF(F25&gt;0,'B. Implementation Plan'!M364*(1+E19)^F88,0)</f>
        <v>0</v>
      </c>
      <c r="G95" s="482">
        <f ca="1">IF(G25&gt;0,'B. Implementation Plan'!M364*(1+E19)^G88,0)</f>
        <v>0</v>
      </c>
      <c r="H95" s="482">
        <f ca="1">IF(H25&gt;0,'B. Implementation Plan'!M364*(1+E19)^H88,0)</f>
        <v>0</v>
      </c>
      <c r="I95" s="482">
        <f ca="1">IF(I25&gt;0,'B. Implementation Plan'!M364*(1+E19)^I88,0)</f>
        <v>0</v>
      </c>
      <c r="J95" s="482">
        <f ca="1">IF(J25&gt;0,'B. Implementation Plan'!M364*(1+E19)^J88,0)</f>
        <v>0</v>
      </c>
      <c r="K95" s="482">
        <f ca="1">IF(K25&gt;0,'B. Implementation Plan'!M364*(1+E19)^K88,0)</f>
        <v>0</v>
      </c>
      <c r="L95" s="482">
        <f ca="1">IF(L25&gt;0,'B. Implementation Plan'!M364*(1+E19)^L88,0)</f>
        <v>0</v>
      </c>
      <c r="M95" s="482">
        <f ca="1">IF(M25&gt;0,'B. Implementation Plan'!M364*(1+E19)^M88,0)</f>
        <v>0</v>
      </c>
      <c r="N95" s="482">
        <f ca="1">IF(N25&gt;0,'B. Implementation Plan'!M364*(1+E19)^N88,0)</f>
        <v>0</v>
      </c>
      <c r="O95" s="482">
        <f ca="1">IF(O25&gt;0,'B. Implementation Plan'!M364*(1+E19)^O88,0)</f>
        <v>0</v>
      </c>
      <c r="P95" s="488">
        <f ca="1">IF(O95=0,IF(N95=0,IF(M95=0,IF(L95=0,IF(K95=0,IF(J95=0,IF(I95=0,IF(H95=0,IF(G95=0,IF(F95=0,E95,F95),G95),H95),I95),J95),K95),L95),M95),N95),O95)</f>
        <v>0</v>
      </c>
    </row>
    <row r="96" spans="1:16" x14ac:dyDescent="0.3">
      <c r="C96" s="396" t="s">
        <v>834</v>
      </c>
      <c r="E96" s="482">
        <f ca="1">IF(E25&gt;0,'B. Implementation Plan'!M363*(1+E19)^E88,0)</f>
        <v>0</v>
      </c>
      <c r="F96" s="482">
        <f ca="1">IF(F25&gt;0,'B. Implementation Plan'!M363*(1+E19)^F88,0)</f>
        <v>0</v>
      </c>
      <c r="G96" s="482">
        <f ca="1">IF(G25&gt;0,'B. Implementation Plan'!M363*(1+E19)^G88,0)</f>
        <v>0</v>
      </c>
      <c r="H96" s="482">
        <f ca="1">IF(H25&gt;0,'B. Implementation Plan'!M363*(1+E19)^H88,0)</f>
        <v>0</v>
      </c>
      <c r="I96" s="482">
        <f ca="1">IF(I25&gt;0,'B. Implementation Plan'!M363*(1+E19)^I88,0)</f>
        <v>0</v>
      </c>
      <c r="J96" s="482">
        <f ca="1">IF(J25&gt;0,'B. Implementation Plan'!M363*(1+E19)^J88,0)</f>
        <v>0</v>
      </c>
      <c r="K96" s="482">
        <f ca="1">IF(K25&gt;0,'B. Implementation Plan'!M363*(1+E19)^K88,0)</f>
        <v>0</v>
      </c>
      <c r="L96" s="482">
        <f ca="1">IF(L25&gt;0,'B. Implementation Plan'!M363*(1+E19)^L88,0)</f>
        <v>0</v>
      </c>
      <c r="M96" s="482">
        <f ca="1">IF(M25&gt;0,'B. Implementation Plan'!M363*(1+E19)^M88,0)</f>
        <v>0</v>
      </c>
      <c r="N96" s="482">
        <f ca="1">IF(N25&gt;0,'B. Implementation Plan'!M363*(1+E19)^N88,0)</f>
        <v>0</v>
      </c>
      <c r="O96" s="482">
        <f ca="1">IF(O25&gt;0,'B. Implementation Plan'!M363*(1+E19)^O88,0)</f>
        <v>0</v>
      </c>
      <c r="P96" s="488">
        <f t="shared" ca="1" si="35"/>
        <v>0</v>
      </c>
    </row>
    <row r="97" spans="1:16" hidden="1" outlineLevel="1" x14ac:dyDescent="0.3">
      <c r="C97" s="478" t="s">
        <v>684</v>
      </c>
      <c r="E97" s="482">
        <f ca="1">IF(E25&gt;0,IF(OR('B. Implementation Plan'!M414="Y",'B. Implementation Plan'!M414="Yes"),0,E82*'B. Implementation Plan'!P413*(1+E19)^E88),0)</f>
        <v>0</v>
      </c>
      <c r="F97" s="482">
        <f ca="1">IF(F25&gt;0,IF(OR('B. Implementation Plan'!M414="Y",'B. Implementation Plan'!M414="Yes"),0,F82*'B. Implementation Plan'!P413*(1+E19)^F88),0)</f>
        <v>0</v>
      </c>
      <c r="G97" s="482">
        <f ca="1">IF(G25&gt;0,IF(OR('B. Implementation Plan'!M414="Y",'B. Implementation Plan'!M414="Yes"),0,G82*'B. Implementation Plan'!P413*(1+E19)^G88),0)</f>
        <v>0</v>
      </c>
      <c r="H97" s="482">
        <f ca="1">IF(H25&gt;0,IF(OR('B. Implementation Plan'!M414="Y",'B. Implementation Plan'!M414="Yes"),0,H82*'B. Implementation Plan'!P413*(1+E19)^H88),0)</f>
        <v>0</v>
      </c>
      <c r="I97" s="482">
        <f ca="1">IF(I25&gt;0,IF(OR('B. Implementation Plan'!M414="Y",'B. Implementation Plan'!M414="Yes"),0,I82*'B. Implementation Plan'!P413*(1+E19)^I88),0)</f>
        <v>0</v>
      </c>
      <c r="J97" s="482">
        <f ca="1">IF(J25&gt;0,IF(OR('B. Implementation Plan'!M414="Y",'B. Implementation Plan'!M414="Yes"),0,J82*'B. Implementation Plan'!P413*(1+E19)^J88),0)</f>
        <v>0</v>
      </c>
      <c r="K97" s="482">
        <f ca="1">IF(K25&gt;0,IF(OR('B. Implementation Plan'!M414="Y",'B. Implementation Plan'!M414="Yes"),0,K82*'B. Implementation Plan'!P413*(1+E19)^K88),0)</f>
        <v>0</v>
      </c>
      <c r="L97" s="482">
        <f ca="1">IF(L25&gt;0,IF(OR('B. Implementation Plan'!M414="Y",'B. Implementation Plan'!M414="Yes"),0,L82*'B. Implementation Plan'!P413*(1+E19)^L88),0)</f>
        <v>0</v>
      </c>
      <c r="M97" s="482">
        <f ca="1">IF(M25&gt;0,IF(OR('B. Implementation Plan'!M414="Y",'B. Implementation Plan'!M414="Yes"),0,M82*'B. Implementation Plan'!P413*(1+E19)^M88),0)</f>
        <v>0</v>
      </c>
      <c r="N97" s="482">
        <f ca="1">IF(N25&gt;0,IF(OR('B. Implementation Plan'!M414="Y",'B. Implementation Plan'!M414="Yes"),0,N82*'B. Implementation Plan'!P413*(1+E19)^N88),0)</f>
        <v>0</v>
      </c>
      <c r="O97" s="482">
        <f ca="1">IF(O25&gt;0,IF(OR('B. Implementation Plan'!M414="Y",'B. Implementation Plan'!M414="Yes"),0,O82*'B. Implementation Plan'!P413*(1+E19)^O88),0)</f>
        <v>0</v>
      </c>
      <c r="P97" s="488">
        <f t="shared" ca="1" si="35"/>
        <v>0</v>
      </c>
    </row>
    <row r="98" spans="1:16" hidden="1" outlineLevel="1" x14ac:dyDescent="0.3">
      <c r="C98" s="478" t="s">
        <v>685</v>
      </c>
      <c r="E98" s="482">
        <f ca="1">IF(OR('B. Implementation Plan'!M414="Y",'B. Implementation Plan'!M414="Yes"),0,(E45+E73+E79)*('B. Implementation Plan'!P412*8)*'B. Implementation Plan'!P413*(1+E19)^E88)</f>
        <v>0</v>
      </c>
      <c r="F98" s="482">
        <f ca="1">IF(OR('B. Implementation Plan'!M414="Y",'B. Implementation Plan'!M414="Yes"),0,(F45+F73+F79)*('B. Implementation Plan'!P412*8)*'B. Implementation Plan'!P413*(1+E19)^F88)</f>
        <v>0</v>
      </c>
      <c r="G98" s="482">
        <f ca="1">IF(OR('B. Implementation Plan'!M414="Y",'B. Implementation Plan'!M414="Yes"),0,(G45+G73+G79)*('B. Implementation Plan'!P412*8)*'B. Implementation Plan'!P413*(1+E19)^G88)</f>
        <v>0</v>
      </c>
      <c r="H98" s="482">
        <f ca="1">IF(OR('B. Implementation Plan'!M414="Y",'B. Implementation Plan'!M414="Yes"),0,(H45+H73+H79)*('B. Implementation Plan'!P412*8)*'B. Implementation Plan'!P413*(1+E19)^H88)</f>
        <v>0</v>
      </c>
      <c r="I98" s="482">
        <f ca="1">IF(OR('B. Implementation Plan'!M414="Y",'B. Implementation Plan'!M414="Yes"),0,(I45+I73+I79)*('B. Implementation Plan'!P412*8)*'B. Implementation Plan'!P413*(1+E19)^I88)</f>
        <v>0</v>
      </c>
      <c r="J98" s="482">
        <f ca="1">IF(OR('B. Implementation Plan'!M414="Y",'B. Implementation Plan'!M414="Yes"),0,(J45+J73+J79)*('B. Implementation Plan'!P412*8)*'B. Implementation Plan'!P413*(1+E19)^J88)</f>
        <v>0</v>
      </c>
      <c r="K98" s="482">
        <f ca="1">IF(OR('B. Implementation Plan'!M414="Y",'B. Implementation Plan'!M414="Yes"),0,(K45+K73+K79)*('B. Implementation Plan'!P412*8)*'B. Implementation Plan'!P413*(1+E19)^K88)</f>
        <v>0</v>
      </c>
      <c r="L98" s="482">
        <f ca="1">IF(OR('B. Implementation Plan'!M414="Y",'B. Implementation Plan'!M414="Yes"),0,(L45+L73+L79)*('B. Implementation Plan'!P412*8)*'B. Implementation Plan'!P413*(1+E19)^L88)</f>
        <v>0</v>
      </c>
      <c r="M98" s="482">
        <f ca="1">IF(OR('B. Implementation Plan'!M414="Y",'B. Implementation Plan'!M414="Yes"),0,(M45+M73+M79)*('B. Implementation Plan'!P412*8)*'B. Implementation Plan'!P413*(1+E19)^M88)</f>
        <v>0</v>
      </c>
      <c r="N98" s="482">
        <f ca="1">IF(OR('B. Implementation Plan'!M414="Y",'B. Implementation Plan'!M414="Yes"),0,(N45+N73+N79)*('B. Implementation Plan'!P412*8)*'B. Implementation Plan'!P413*(1+E19)^N88)</f>
        <v>0</v>
      </c>
      <c r="O98" s="482">
        <f ca="1">IF(OR('B. Implementation Plan'!M414="Y",'B. Implementation Plan'!M414="Yes"),0,(O45+O73+O79)*('B. Implementation Plan'!P412*8)*'B. Implementation Plan'!P413*(1+E19)^O88)</f>
        <v>0</v>
      </c>
      <c r="P98" s="488">
        <f t="shared" ca="1" si="35"/>
        <v>0</v>
      </c>
    </row>
    <row r="99" spans="1:16" collapsed="1" x14ac:dyDescent="0.3">
      <c r="C99" s="420" t="s">
        <v>683</v>
      </c>
      <c r="E99" s="482">
        <f ca="1">IF(OR('B. Implementation Plan'!M414="Y",'B. Implementation Plan'!M414="Yes"),'B. Implementation Plan'!N414*(SUM(E89:E94,E95)),SUM(E97:E98))</f>
        <v>0</v>
      </c>
      <c r="F99" s="482">
        <f ca="1">IF(OR('B. Implementation Plan'!M414="Y",'B. Implementation Plan'!M414="Yes"),'B. Implementation Plan'!N414*(SUM(F89:F94,F95)),SUM(F97:F98))</f>
        <v>0</v>
      </c>
      <c r="G99" s="482">
        <f ca="1">IF(OR('B. Implementation Plan'!M414="Y",'B. Implementation Plan'!M414="Yes"),'B. Implementation Plan'!N414*(SUM(G89:G94,G95)),SUM(G97:G98))</f>
        <v>0</v>
      </c>
      <c r="H99" s="482">
        <f ca="1">IF(OR('B. Implementation Plan'!M414="Y",'B. Implementation Plan'!M414="Yes"),'B. Implementation Plan'!N414*(SUM(H89:H94,H95)),SUM(H97:H98))</f>
        <v>0</v>
      </c>
      <c r="I99" s="482">
        <f ca="1">IF(OR('B. Implementation Plan'!M414="Y",'B. Implementation Plan'!M414="Yes"),'B. Implementation Plan'!N414*(SUM(I89:I94,I95)),SUM(I97:I98))</f>
        <v>0</v>
      </c>
      <c r="J99" s="482">
        <f ca="1">IF(OR('B. Implementation Plan'!M414="Y",'B. Implementation Plan'!M414="Yes"),'B. Implementation Plan'!N414*(SUM(J89:J94,J95)),SUM(J97:J98))</f>
        <v>0</v>
      </c>
      <c r="K99" s="482">
        <f ca="1">IF(OR('B. Implementation Plan'!M414="Y",'B. Implementation Plan'!M414="Yes"),'B. Implementation Plan'!N414*(SUM(K89:K94,K95)),SUM(K97:K98))</f>
        <v>0</v>
      </c>
      <c r="L99" s="482">
        <f ca="1">IF(OR('B. Implementation Plan'!M414="Y",'B. Implementation Plan'!M414="Yes"),'B. Implementation Plan'!N414*(SUM(L89:L94,L95)),SUM(L97:L98))</f>
        <v>0</v>
      </c>
      <c r="M99" s="482">
        <f ca="1">IF(OR('B. Implementation Plan'!M414="Y",'B. Implementation Plan'!M414="Yes"),'B. Implementation Plan'!N414*(SUM(M89:M94,M95)),SUM(M97:M98))</f>
        <v>0</v>
      </c>
      <c r="N99" s="482">
        <f ca="1">IF(OR('B. Implementation Plan'!M414="Y",'B. Implementation Plan'!M414="Yes"),'B. Implementation Plan'!N414*(SUM(N89:N94,N95)),SUM(N97:N98))</f>
        <v>0</v>
      </c>
      <c r="O99" s="482">
        <f ca="1">IF(OR('B. Implementation Plan'!M414="Y",'B. Implementation Plan'!M414="Yes"),'B. Implementation Plan'!N414*(SUM(O89:O94,O95)),SUM(O97:O98))</f>
        <v>0</v>
      </c>
      <c r="P99" s="488">
        <f t="shared" ca="1" si="35"/>
        <v>0</v>
      </c>
    </row>
    <row r="100" spans="1:16" s="1" customFormat="1" x14ac:dyDescent="0.3">
      <c r="C100" s="1" t="s">
        <v>682</v>
      </c>
      <c r="E100" s="485">
        <f t="shared" ref="E100:O100" ca="1" si="36">SUM(E89:E96,E99)</f>
        <v>0</v>
      </c>
      <c r="F100" s="485">
        <f t="shared" ca="1" si="36"/>
        <v>0</v>
      </c>
      <c r="G100" s="485">
        <f t="shared" ca="1" si="36"/>
        <v>0</v>
      </c>
      <c r="H100" s="485">
        <f t="shared" ca="1" si="36"/>
        <v>0</v>
      </c>
      <c r="I100" s="485">
        <f t="shared" ca="1" si="36"/>
        <v>0</v>
      </c>
      <c r="J100" s="485">
        <f t="shared" ca="1" si="36"/>
        <v>0</v>
      </c>
      <c r="K100" s="485">
        <f t="shared" ca="1" si="36"/>
        <v>0</v>
      </c>
      <c r="L100" s="485">
        <f t="shared" ca="1" si="36"/>
        <v>0</v>
      </c>
      <c r="M100" s="485">
        <f t="shared" ca="1" si="36"/>
        <v>0</v>
      </c>
      <c r="N100" s="485">
        <f t="shared" ca="1" si="36"/>
        <v>0</v>
      </c>
      <c r="O100" s="487">
        <f t="shared" ca="1" si="36"/>
        <v>0</v>
      </c>
      <c r="P100" s="489">
        <f t="shared" ca="1" si="35"/>
        <v>0</v>
      </c>
    </row>
    <row r="101" spans="1:16" x14ac:dyDescent="0.3">
      <c r="C101" t="s">
        <v>695</v>
      </c>
      <c r="E101" s="482">
        <f ca="1">E100*'B. Implementation Plan'!P415</f>
        <v>0</v>
      </c>
      <c r="F101" s="482">
        <f ca="1">F100*'B. Implementation Plan'!P415</f>
        <v>0</v>
      </c>
      <c r="G101" s="482">
        <f ca="1">G100*'B. Implementation Plan'!P415</f>
        <v>0</v>
      </c>
      <c r="H101" s="482">
        <f ca="1">H100*'B. Implementation Plan'!P415</f>
        <v>0</v>
      </c>
      <c r="I101" s="482">
        <f ca="1">I100*'B. Implementation Plan'!P415</f>
        <v>0</v>
      </c>
      <c r="J101" s="482">
        <f ca="1">J100*'B. Implementation Plan'!P415</f>
        <v>0</v>
      </c>
      <c r="K101" s="482">
        <f ca="1">K100*'B. Implementation Plan'!P415</f>
        <v>0</v>
      </c>
      <c r="L101" s="482">
        <f ca="1">L100*'B. Implementation Plan'!P415</f>
        <v>0</v>
      </c>
      <c r="M101" s="482">
        <f ca="1">M100*'B. Implementation Plan'!P415</f>
        <v>0</v>
      </c>
      <c r="N101" s="482">
        <f ca="1">N100*'B. Implementation Plan'!P415</f>
        <v>0</v>
      </c>
      <c r="O101" s="482">
        <f ca="1">O100*'B. Implementation Plan'!P415</f>
        <v>0</v>
      </c>
      <c r="P101" s="488">
        <f t="shared" ca="1" si="35"/>
        <v>0</v>
      </c>
    </row>
    <row r="102" spans="1:16" x14ac:dyDescent="0.3">
      <c r="C102" s="498" t="s">
        <v>680</v>
      </c>
      <c r="E102" s="482">
        <f ca="1">IF(OR('B. Implementation Plan'!M417="Y",'B. Implementation Plan'!M417="Yes"),'B. Implementation Plan'!N417*SUM(E89:E96),E81*'B. Implementation Plan'!E417)</f>
        <v>0</v>
      </c>
      <c r="F102" s="482">
        <f ca="1">IF(OR('B. Implementation Plan'!M417="Y",'B. Implementation Plan'!M417="Yes"),'B. Implementation Plan'!N417*SUM(F89:F96),F81*'B. Implementation Plan'!E417)</f>
        <v>0</v>
      </c>
      <c r="G102" s="482">
        <f ca="1">IF(OR('B. Implementation Plan'!M417="Y",'B. Implementation Plan'!M417="Yes"),'B. Implementation Plan'!N417*SUM(G89:G96),G81*'B. Implementation Plan'!E417)</f>
        <v>0</v>
      </c>
      <c r="H102" s="482">
        <f ca="1">IF(OR('B. Implementation Plan'!M417="Y",'B. Implementation Plan'!M417="Yes"),'B. Implementation Plan'!N417*SUM(H89:H96),H81*'B. Implementation Plan'!E417)</f>
        <v>0</v>
      </c>
      <c r="I102" s="482">
        <f ca="1">IF(OR('B. Implementation Plan'!M417="Y",'B. Implementation Plan'!M417="Yes"),'B. Implementation Plan'!N417*SUM(I89:I96),I81*'B. Implementation Plan'!E417)</f>
        <v>0</v>
      </c>
      <c r="J102" s="482">
        <f ca="1">IF(OR('B. Implementation Plan'!M417="Y",'B. Implementation Plan'!M417="Yes"),'B. Implementation Plan'!N417*SUM(J89:J96),J81*'B. Implementation Plan'!E417)</f>
        <v>0</v>
      </c>
      <c r="K102" s="482">
        <f ca="1">IF(OR('B. Implementation Plan'!M417="Y",'B. Implementation Plan'!M417="Yes"),'B. Implementation Plan'!N417*SUM(K89:K96),K81*'B. Implementation Plan'!E417)</f>
        <v>0</v>
      </c>
      <c r="L102" s="482">
        <f ca="1">IF(OR('B. Implementation Plan'!M417="Y",'B. Implementation Plan'!M417="Yes"),'B. Implementation Plan'!N417*SUM(L89:L96),L81*'B. Implementation Plan'!E417)</f>
        <v>0</v>
      </c>
      <c r="M102" s="482">
        <f ca="1">IF(OR('B. Implementation Plan'!M417="Y",'B. Implementation Plan'!M417="Yes"),'B. Implementation Plan'!N417*SUM(M89:M96),M81*'B. Implementation Plan'!E417)</f>
        <v>0</v>
      </c>
      <c r="N102" s="482">
        <f ca="1">IF(OR('B. Implementation Plan'!M417="Y",'B. Implementation Plan'!M417="Yes"),'B. Implementation Plan'!N417*SUM(N89:N96),N81*'B. Implementation Plan'!E417)</f>
        <v>0</v>
      </c>
      <c r="O102" s="482">
        <f ca="1">IF(OR('B. Implementation Plan'!M417="Y",'B. Implementation Plan'!M417="Yes"),'B. Implementation Plan'!N417*SUM(O89:O96),O81*'B. Implementation Plan'!E417)</f>
        <v>0</v>
      </c>
      <c r="P102" s="488">
        <f t="shared" ca="1" si="35"/>
        <v>0</v>
      </c>
    </row>
    <row r="103" spans="1:16" ht="15" thickBot="1" x14ac:dyDescent="0.35">
      <c r="C103" s="1" t="s">
        <v>716</v>
      </c>
      <c r="E103" s="485">
        <f ca="1">SUM(E100:E102)</f>
        <v>0</v>
      </c>
      <c r="F103" s="485">
        <f t="shared" ref="F103:O103" ca="1" si="37">SUM(F100:F102)</f>
        <v>0</v>
      </c>
      <c r="G103" s="485">
        <f t="shared" ca="1" si="37"/>
        <v>0</v>
      </c>
      <c r="H103" s="485">
        <f t="shared" ca="1" si="37"/>
        <v>0</v>
      </c>
      <c r="I103" s="485">
        <f t="shared" ca="1" si="37"/>
        <v>0</v>
      </c>
      <c r="J103" s="485">
        <f t="shared" ca="1" si="37"/>
        <v>0</v>
      </c>
      <c r="K103" s="485">
        <f t="shared" ca="1" si="37"/>
        <v>0</v>
      </c>
      <c r="L103" s="485">
        <f t="shared" ca="1" si="37"/>
        <v>0</v>
      </c>
      <c r="M103" s="485">
        <f t="shared" ca="1" si="37"/>
        <v>0</v>
      </c>
      <c r="N103" s="485">
        <f t="shared" ca="1" si="37"/>
        <v>0</v>
      </c>
      <c r="O103" s="487">
        <f t="shared" ca="1" si="37"/>
        <v>0</v>
      </c>
      <c r="P103" s="490">
        <f t="shared" ca="1" si="35"/>
        <v>0</v>
      </c>
    </row>
    <row r="104" spans="1:16" x14ac:dyDescent="0.3">
      <c r="P104"/>
    </row>
    <row r="105" spans="1:16" ht="16.2" thickBot="1" x14ac:dyDescent="0.35">
      <c r="B105" s="253" t="s">
        <v>691</v>
      </c>
      <c r="C105" s="254"/>
      <c r="E105" s="469"/>
      <c r="P105"/>
    </row>
    <row r="106" spans="1:16" s="365" customFormat="1" ht="14.55" customHeight="1" x14ac:dyDescent="0.3">
      <c r="A106" s="1"/>
      <c r="B106" s="62"/>
      <c r="D106" s="394"/>
      <c r="E106" s="294">
        <v>0</v>
      </c>
      <c r="F106" s="294">
        <v>1</v>
      </c>
      <c r="G106" s="294">
        <v>2</v>
      </c>
      <c r="H106" s="294">
        <v>3</v>
      </c>
      <c r="I106" s="294">
        <v>4</v>
      </c>
      <c r="J106" s="294">
        <v>5</v>
      </c>
      <c r="K106" s="294">
        <v>6</v>
      </c>
      <c r="L106" s="294">
        <v>7</v>
      </c>
      <c r="M106" s="294">
        <v>8</v>
      </c>
      <c r="N106" s="294">
        <v>9</v>
      </c>
      <c r="O106" s="295">
        <v>10</v>
      </c>
      <c r="P106" s="395" t="s">
        <v>2</v>
      </c>
    </row>
    <row r="107" spans="1:16" s="1" customFormat="1" ht="14.55" customHeight="1" x14ac:dyDescent="0.3">
      <c r="B107" s="62"/>
      <c r="C107" s="1" t="s">
        <v>826</v>
      </c>
      <c r="D107" s="394"/>
      <c r="E107" s="486">
        <f ca="1">E82*'B. Implementation Plan'!P214*(1+E19)^E106</f>
        <v>0</v>
      </c>
      <c r="F107" s="486">
        <f ca="1">F82*'B. Implementation Plan'!P214*(1+E19)^F106</f>
        <v>0</v>
      </c>
      <c r="G107" s="486">
        <f ca="1">G82*'B. Implementation Plan'!P214*(1+E19)^G106</f>
        <v>0</v>
      </c>
      <c r="H107" s="486">
        <f ca="1">H82*'B. Implementation Plan'!P214*(1+E19)^H106</f>
        <v>0</v>
      </c>
      <c r="I107" s="486">
        <f ca="1">I82*'B. Implementation Plan'!P214*(1+E19)^I106</f>
        <v>0</v>
      </c>
      <c r="J107" s="486">
        <f ca="1">J82*'B. Implementation Plan'!P214*(1+E19)^J106</f>
        <v>0</v>
      </c>
      <c r="K107" s="486">
        <f ca="1">K82*'B. Implementation Plan'!P214*(1+E19)^K106</f>
        <v>0</v>
      </c>
      <c r="L107" s="486">
        <f ca="1">L82*'B. Implementation Plan'!P214*(1+E19)^L106</f>
        <v>0</v>
      </c>
      <c r="M107" s="486">
        <f ca="1">M82*'B. Implementation Plan'!P214*(1+E19)^M106</f>
        <v>0</v>
      </c>
      <c r="N107" s="486">
        <f ca="1">N82*'B. Implementation Plan'!P214*(1+E19)^N106</f>
        <v>0</v>
      </c>
      <c r="O107" s="486">
        <f ca="1">O82*'B. Implementation Plan'!P214*(1+E19)^O106</f>
        <v>0</v>
      </c>
      <c r="P107" s="489">
        <f t="shared" ref="P107:P122" ca="1" si="38">IF(O107=0,IF(N107=0,IF(M107=0,IF(L107=0,IF(K107=0,IF(J107=0,IF(I107=0,IF(H107=0,IF(G107=0,IF(F107=0,E107,F107),G107),H107),I107),J107),K107),L107),M107),N107),O107)</f>
        <v>0</v>
      </c>
    </row>
    <row r="108" spans="1:16" s="365" customFormat="1" ht="14.55" customHeight="1" x14ac:dyDescent="0.3">
      <c r="A108" s="1"/>
      <c r="B108" s="62"/>
      <c r="C108" s="433" t="s">
        <v>712</v>
      </c>
      <c r="D108" s="394"/>
      <c r="E108" s="482">
        <f ca="1">IFERROR(IF(OR('B. Implementation Plan'!K442="Y",'B. Implementation Plan'!K442="Yes"),((E34/E37*E29)*'B. Implementation Plan'!L442+(E35/E37*E29)*'B. Implementation Plan'!M442+(E36/E37*E29)*'B. Implementation Plan'!N442)*(1+E19)^E106,((E34/E37*E29)*'B. Implementation Plan'!E442+(E35/E37*E29)*'B. Implementation Plan'!F442+(E36/E37*E29)*'B. Implementation Plan'!G442)*(1+E19)^E106),0)</f>
        <v>0</v>
      </c>
      <c r="F108" s="482">
        <f ca="1">IFERROR(IF(OR('B. Implementation Plan'!K442="Y",'B. Implementation Plan'!K442="Yes"),((F34/F37*F29)*'B. Implementation Plan'!L442+(F35/F37*F29)*'B. Implementation Plan'!M442+(F36/F37*F29)*'B. Implementation Plan'!N442)*(1+E19)^F106,((F34/F37*F29)*'B. Implementation Plan'!E442+(F35/F37*F29)*'B. Implementation Plan'!F442+(F36/F37*F29)*'B. Implementation Plan'!G442)*(1+E19)^F106),0)</f>
        <v>0</v>
      </c>
      <c r="G108" s="482">
        <f ca="1">IFERROR(IF(OR('B. Implementation Plan'!K442="Y",'B. Implementation Plan'!K442="Yes"),((G34/G37*G29)*'B. Implementation Plan'!L442+(G35/G37*G29)*'B. Implementation Plan'!M442+(G36/G37*G29)*'B. Implementation Plan'!N442)*(1+E19)^G106,((G34/G37*G29)*'B. Implementation Plan'!E442+(G35/G37*G29)*'B. Implementation Plan'!F442+(G36/G37*G29)*'B. Implementation Plan'!G442)*(1+E19)^G106),0)</f>
        <v>0</v>
      </c>
      <c r="H108" s="482">
        <f ca="1">IFERROR(IF(OR('B. Implementation Plan'!K442="Y",'B. Implementation Plan'!K442="Yes"),((H34/H37*H29)*'B. Implementation Plan'!L442+(H35/H37*H29)*'B. Implementation Plan'!M442+(H36/H37*H29)*'B. Implementation Plan'!N442)*(1+E19)^H106,((H34/H37*H29)*'B. Implementation Plan'!E442+(H35/H37*H29)*'B. Implementation Plan'!F442+(H36/H37*H29)*'B. Implementation Plan'!G442)*(1+E19)^H106),0)</f>
        <v>0</v>
      </c>
      <c r="I108" s="482">
        <f ca="1">IFERROR(IF(OR('B. Implementation Plan'!K442="Y",'B. Implementation Plan'!K442="Yes"),((I34/I37*I29)*'B. Implementation Plan'!L442+(I35/I37*I29)*'B. Implementation Plan'!M442+(I36/I37*I29)*'B. Implementation Plan'!N442)*(1+E19)^I106,((I34/I37*I29)*'B. Implementation Plan'!E442+(I35/I37*I29)*'B. Implementation Plan'!F442+(I36/I37*I29)*'B. Implementation Plan'!G442)*(1+E19)^I106),0)</f>
        <v>0</v>
      </c>
      <c r="J108" s="482">
        <f ca="1">IFERROR(IF(OR('B. Implementation Plan'!K442="Y",'B. Implementation Plan'!K442="Yes"),((J34/J37*J29)*'B. Implementation Plan'!L442+(J35/J37*J29)*'B. Implementation Plan'!M442+(J36/J37*J29)*'B. Implementation Plan'!N442)*(1+E19)^J106,((J34/J37*J29)*'B. Implementation Plan'!E442+(J35/J37*J29)*'B. Implementation Plan'!F442+(J36/J37*J29)*'B. Implementation Plan'!G442)*(1+E19)^J106),0)</f>
        <v>0</v>
      </c>
      <c r="K108" s="482">
        <f ca="1">IFERROR(IF(OR('B. Implementation Plan'!K442="Y",'B. Implementation Plan'!K442="Yes"),((K34/K37*K29)*'B. Implementation Plan'!L442+(K35/K37*K29)*'B. Implementation Plan'!M442+(K36/K37*K29)*'B. Implementation Plan'!N442)*(1+E19)^K106,((K34/K37*K29)*'B. Implementation Plan'!E442+(K35/K37*K29)*'B. Implementation Plan'!F442+(K36/K37*K29)*'B. Implementation Plan'!G442)*(1+E19)^K106),0)</f>
        <v>0</v>
      </c>
      <c r="L108" s="482">
        <f ca="1">IFERROR(IF(OR('B. Implementation Plan'!K442="Y",'B. Implementation Plan'!K442="Yes"),((L34/L37*L29)*'B. Implementation Plan'!L442+(L35/L37*L29)*'B. Implementation Plan'!M442+(L36/L37*L29)*'B. Implementation Plan'!N442)*(1+E19)^L106,((L34/L37*L29)*'B. Implementation Plan'!E442+(L35/L37*L29)*'B. Implementation Plan'!F442+(L36/L37*L29)*'B. Implementation Plan'!G442)*(1+E19)^L106),0)</f>
        <v>0</v>
      </c>
      <c r="M108" s="482">
        <f ca="1">IFERROR(IF(OR('B. Implementation Plan'!K442="Y",'B. Implementation Plan'!K442="Yes"),((M34/M37*M29)*'B. Implementation Plan'!L442+(M35/M37*M29)*'B. Implementation Plan'!M442+(M36/M37*M29)*'B. Implementation Plan'!N442)*(1+E19)^M106,((M34/M37*M29)*'B. Implementation Plan'!E442+(M35/M37*M29)*'B. Implementation Plan'!F442+(M36/M37*M29)*'B. Implementation Plan'!G442)*(1+E19)^M106),0)</f>
        <v>0</v>
      </c>
      <c r="N108" s="482">
        <f ca="1">IFERROR(IF(OR('B. Implementation Plan'!K442="Y",'B. Implementation Plan'!K442="Yes"),((N34/N37*N29)*'B. Implementation Plan'!L442+(N35/N37*N29)*'B. Implementation Plan'!M442+(N36/N37*N29)*'B. Implementation Plan'!N442)*(1+E19)^N106,((N34/N37*N29)*'B. Implementation Plan'!E442+(N35/N37*N29)*'B. Implementation Plan'!F442+(N36/N37*N29)*'B. Implementation Plan'!G442)*(1+E19)^N106),0)</f>
        <v>0</v>
      </c>
      <c r="O108" s="482">
        <f ca="1">IFERROR(IF(OR('B. Implementation Plan'!K442="Y",'B. Implementation Plan'!K442="Yes"),((O34/O37*O29)*'B. Implementation Plan'!L442+(O35/O37*O29)*'B. Implementation Plan'!M442+(O36/O37*O29)*'B. Implementation Plan'!N442)*(1+E19)^O106,((O34/O37*O29)*'B. Implementation Plan'!E442+(O35/O37*O29)*'B. Implementation Plan'!F442+(O36/O37*O29)*'B. Implementation Plan'!G442)*(1+E19)^O106),0)</f>
        <v>0</v>
      </c>
      <c r="P108" s="488">
        <f t="shared" ca="1" si="38"/>
        <v>0</v>
      </c>
    </row>
    <row r="109" spans="1:16" s="365" customFormat="1" ht="14.55" customHeight="1" x14ac:dyDescent="0.3">
      <c r="A109" s="1"/>
      <c r="B109" s="62"/>
      <c r="C109" s="433" t="s">
        <v>693</v>
      </c>
      <c r="D109" s="394"/>
      <c r="E109" s="482">
        <f ca="1">E29*'B. Implementation Plan'!E463*(1+E19)^E106</f>
        <v>0</v>
      </c>
      <c r="F109" s="482">
        <f ca="1">F29*'B. Implementation Plan'!E463*(1+E19)^F106</f>
        <v>0</v>
      </c>
      <c r="G109" s="482">
        <f ca="1">G29*'B. Implementation Plan'!E463*(1+E19)^G106</f>
        <v>0</v>
      </c>
      <c r="H109" s="482">
        <f ca="1">H29*'B. Implementation Plan'!E463*(1+E19)^H106</f>
        <v>0</v>
      </c>
      <c r="I109" s="482">
        <f ca="1">I29*'B. Implementation Plan'!E463*(1+E19)^I106</f>
        <v>0</v>
      </c>
      <c r="J109" s="482">
        <f ca="1">J29*'B. Implementation Plan'!E463*(1+E19)^J106</f>
        <v>0</v>
      </c>
      <c r="K109" s="482">
        <f ca="1">K29*'B. Implementation Plan'!E463*(1+E19)^K106</f>
        <v>0</v>
      </c>
      <c r="L109" s="482">
        <f ca="1">L29*'B. Implementation Plan'!E463*(1+E19)^L106</f>
        <v>0</v>
      </c>
      <c r="M109" s="482">
        <f ca="1">M29*'B. Implementation Plan'!E463*(1+E19)^M106</f>
        <v>0</v>
      </c>
      <c r="N109" s="482">
        <f ca="1">N29*'B. Implementation Plan'!E463*(1+E19)^N106</f>
        <v>0</v>
      </c>
      <c r="O109" s="482">
        <f ca="1">O29*'B. Implementation Plan'!E463*(1+E19)^O106</f>
        <v>0</v>
      </c>
      <c r="P109" s="488">
        <f t="shared" ca="1" si="38"/>
        <v>0</v>
      </c>
    </row>
    <row r="110" spans="1:16" s="365" customFormat="1" ht="14.55" customHeight="1" x14ac:dyDescent="0.3">
      <c r="A110" s="1"/>
      <c r="B110" s="62"/>
      <c r="C110" s="420" t="s">
        <v>692</v>
      </c>
      <c r="D110" s="394"/>
      <c r="E110" s="482">
        <f ca="1">E29*'B. Implementation Plan'!E466*(1+E19)^E106</f>
        <v>0</v>
      </c>
      <c r="F110" s="482">
        <f ca="1">F29*'B. Implementation Plan'!E466*(1+E19)^F106</f>
        <v>0</v>
      </c>
      <c r="G110" s="482">
        <f ca="1">G29*'B. Implementation Plan'!E466*(1+E19)^G106</f>
        <v>0</v>
      </c>
      <c r="H110" s="482">
        <f ca="1">H29*'B. Implementation Plan'!E466*(1+E19)^H106</f>
        <v>0</v>
      </c>
      <c r="I110" s="482">
        <f ca="1">I29*'B. Implementation Plan'!E466*(1+E19)^I106</f>
        <v>0</v>
      </c>
      <c r="J110" s="482">
        <f ca="1">J29*'B. Implementation Plan'!E466*(1+E19)^J106</f>
        <v>0</v>
      </c>
      <c r="K110" s="482">
        <f ca="1">K29*'B. Implementation Plan'!E466*(1+E19)^K106</f>
        <v>0</v>
      </c>
      <c r="L110" s="482">
        <f ca="1">L29*'B. Implementation Plan'!E466*(1+E19)^L106</f>
        <v>0</v>
      </c>
      <c r="M110" s="482">
        <f ca="1">M29*'B. Implementation Plan'!E466*(1+E19)^M106</f>
        <v>0</v>
      </c>
      <c r="N110" s="482">
        <f ca="1">N29*'B. Implementation Plan'!E466*(1+E19)^N106</f>
        <v>0</v>
      </c>
      <c r="O110" s="482">
        <f ca="1">O29*'B. Implementation Plan'!E466*(1+E19)^O106</f>
        <v>0</v>
      </c>
      <c r="P110" s="488">
        <f t="shared" ca="1" si="38"/>
        <v>0</v>
      </c>
    </row>
    <row r="111" spans="1:16" x14ac:dyDescent="0.3">
      <c r="C111" s="1" t="s">
        <v>717</v>
      </c>
      <c r="E111" s="485">
        <f ca="1">SUM(E108:E110)</f>
        <v>0</v>
      </c>
      <c r="F111" s="485">
        <f t="shared" ref="F111:O111" ca="1" si="39">SUM(F108:F110)</f>
        <v>0</v>
      </c>
      <c r="G111" s="485">
        <f t="shared" ca="1" si="39"/>
        <v>0</v>
      </c>
      <c r="H111" s="485">
        <f t="shared" ca="1" si="39"/>
        <v>0</v>
      </c>
      <c r="I111" s="485">
        <f t="shared" ca="1" si="39"/>
        <v>0</v>
      </c>
      <c r="J111" s="485">
        <f t="shared" ca="1" si="39"/>
        <v>0</v>
      </c>
      <c r="K111" s="485">
        <f t="shared" ca="1" si="39"/>
        <v>0</v>
      </c>
      <c r="L111" s="485">
        <f t="shared" ca="1" si="39"/>
        <v>0</v>
      </c>
      <c r="M111" s="485">
        <f t="shared" ca="1" si="39"/>
        <v>0</v>
      </c>
      <c r="N111" s="485">
        <f t="shared" ca="1" si="39"/>
        <v>0</v>
      </c>
      <c r="O111" s="485">
        <f t="shared" ca="1" si="39"/>
        <v>0</v>
      </c>
      <c r="P111" s="489">
        <f t="shared" ca="1" si="38"/>
        <v>0</v>
      </c>
    </row>
    <row r="112" spans="1:16" x14ac:dyDescent="0.3">
      <c r="C112" s="396" t="s">
        <v>713</v>
      </c>
      <c r="E112" s="482">
        <f ca="1">IF(OR('B. Implementation Plan'!K452="Yes",'B. Implementation Plan'!K452="Y"),E33*'B. Implementation Plan'!L452*(1+E19)^E106,E33*'B. Implementation Plan'!E452*(1+E19)^E106)</f>
        <v>0</v>
      </c>
      <c r="F112" s="482">
        <f ca="1">IF(OR('B. Implementation Plan'!K452="Yes",'B. Implementation Plan'!K452="Y"),F33*'B. Implementation Plan'!L452*(1+E19)^F106,F33*'B. Implementation Plan'!E452*(1+E19)^F106)</f>
        <v>0</v>
      </c>
      <c r="G112" s="482">
        <f ca="1">IF(OR('B. Implementation Plan'!K452="Yes",'B. Implementation Plan'!K452="Y"),G33*'B. Implementation Plan'!L452*(1+E19)^G106,G33*'B. Implementation Plan'!E452*(1+E19)^G106)</f>
        <v>0</v>
      </c>
      <c r="H112" s="482">
        <f ca="1">IF(OR('B. Implementation Plan'!K452="Yes",'B. Implementation Plan'!K452="Y"),H33*'B. Implementation Plan'!L452*(1+E19)^H106,H33*'B. Implementation Plan'!E452*(1+E19)^H106)</f>
        <v>0</v>
      </c>
      <c r="I112" s="482">
        <f ca="1">IF(OR('B. Implementation Plan'!K452="Yes",'B. Implementation Plan'!K452="Y"),I33*'B. Implementation Plan'!L452*(1+E19)^I106,I33*'B. Implementation Plan'!E452*(1+E19)^I106)</f>
        <v>0</v>
      </c>
      <c r="J112" s="482">
        <f ca="1">IF(OR('B. Implementation Plan'!K452="Yes",'B. Implementation Plan'!K452="Y"),J33*'B. Implementation Plan'!L452*(1+E19)^J106,J33*'B. Implementation Plan'!E452*(1+E19)^J106)</f>
        <v>0</v>
      </c>
      <c r="K112" s="482">
        <f ca="1">IF(OR('B. Implementation Plan'!K452="Yes",'B. Implementation Plan'!K452="Y"),K33*'B. Implementation Plan'!L452*(1+E19)^K106,K33*'B. Implementation Plan'!E452*(1+E19)^K106)</f>
        <v>0</v>
      </c>
      <c r="L112" s="482">
        <f ca="1">IF(OR('B. Implementation Plan'!K452="Yes",'B. Implementation Plan'!K452="Y"),L33*'B. Implementation Plan'!L452*(1+E19)^L106,L33*'B. Implementation Plan'!E452*(1+E19)^L106)</f>
        <v>0</v>
      </c>
      <c r="M112" s="482">
        <f ca="1">IF(OR('B. Implementation Plan'!K452="Yes",'B. Implementation Plan'!K452="Y"),M33*'B. Implementation Plan'!L452*(1+E19)^M106,M33*'B. Implementation Plan'!E452*(1+E19)^M106)</f>
        <v>0</v>
      </c>
      <c r="N112" s="482">
        <f ca="1">IF(OR('B. Implementation Plan'!K452="Yes",'B. Implementation Plan'!K452="Y"),N33*'B. Implementation Plan'!L452*(1+E19)^N106,N33*'B. Implementation Plan'!E452*(1+E19)^N106)</f>
        <v>0</v>
      </c>
      <c r="O112" s="482">
        <f ca="1">IF(OR('B. Implementation Plan'!K452="Yes",'B. Implementation Plan'!K452="Y"),O33*'B. Implementation Plan'!L452*(1+E19)^O106,O33*'B. Implementation Plan'!E452*(1+E19)^O106)</f>
        <v>0</v>
      </c>
      <c r="P112" s="488">
        <f t="shared" ca="1" si="38"/>
        <v>0</v>
      </c>
    </row>
    <row r="113" spans="1:16" x14ac:dyDescent="0.3">
      <c r="C113" s="420" t="s">
        <v>694</v>
      </c>
      <c r="E113" s="482">
        <f ca="1">IF(OR('B. Implementation Plan'!K488="Y",'B. Implementation Plan'!K488="Yes"),E33*'B. Implementation Plan'!L488*(1+E19)^E106,E33*'B. Implementation Plan'!E488*(1+E19)^E106)</f>
        <v>0</v>
      </c>
      <c r="F113" s="482">
        <f ca="1">IF(OR('B. Implementation Plan'!K488="Y",'B. Implementation Plan'!K488="Yes"),F33*'B. Implementation Plan'!L488*(1+E19)^F106,F33*'B. Implementation Plan'!E488*(1+E19)^F106)</f>
        <v>0</v>
      </c>
      <c r="G113" s="482">
        <f ca="1">IF(OR('B. Implementation Plan'!K488="Y",'B. Implementation Plan'!K488="Yes"),G33*'B. Implementation Plan'!L488*(1+E19)^G106,G33*'B. Implementation Plan'!E488*(1+E19)^G106)</f>
        <v>0</v>
      </c>
      <c r="H113" s="482">
        <f ca="1">IF(OR('B. Implementation Plan'!K488="Y",'B. Implementation Plan'!K488="Yes"),H33*'B. Implementation Plan'!L488*(1+E19)^H106,H33*'B. Implementation Plan'!E488*(1+E19)^H106)</f>
        <v>0</v>
      </c>
      <c r="I113" s="482">
        <f ca="1">IF(OR('B. Implementation Plan'!K488="Y",'B. Implementation Plan'!K488="Yes"),I33*'B. Implementation Plan'!L488*(1+E19)^I106,I33*'B. Implementation Plan'!E488*(1+E19)^I106)</f>
        <v>0</v>
      </c>
      <c r="J113" s="482">
        <f ca="1">IF(OR('B. Implementation Plan'!K488="Y",'B. Implementation Plan'!K488="Yes"),J33*'B. Implementation Plan'!L488*(1+E19)^J106,J33*'B. Implementation Plan'!E488*(1+E19)^J106)</f>
        <v>0</v>
      </c>
      <c r="K113" s="482">
        <f ca="1">IF(OR('B. Implementation Plan'!K488="Y",'B. Implementation Plan'!K488="Yes"),K33*'B. Implementation Plan'!L488*(1+E19)^K106,K33*'B. Implementation Plan'!E488*(1+E19)^K106)</f>
        <v>0</v>
      </c>
      <c r="L113" s="482">
        <f ca="1">IF(OR('B. Implementation Plan'!K488="Y",'B. Implementation Plan'!K488="Yes"),L33*'B. Implementation Plan'!L488*(1+E19)^L106,L33*'B. Implementation Plan'!E488*(1+E19)^L106)</f>
        <v>0</v>
      </c>
      <c r="M113" s="482">
        <f ca="1">IF(OR('B. Implementation Plan'!K488="Y",'B. Implementation Plan'!K488="Yes"),M33*'B. Implementation Plan'!L488*(1+E19)^M106,M33*'B. Implementation Plan'!E488*(1+E19)^M106)</f>
        <v>0</v>
      </c>
      <c r="N113" s="482">
        <f ca="1">IF(OR('B. Implementation Plan'!K488="Y",'B. Implementation Plan'!K488="Yes"),N33*'B. Implementation Plan'!L488*(1+E19)^N106,N33*'B. Implementation Plan'!E488*(1+E19)^N106)</f>
        <v>0</v>
      </c>
      <c r="O113" s="482">
        <f ca="1">IF(OR('B. Implementation Plan'!K488="Y",'B. Implementation Plan'!K488="Yes"),O33*'B. Implementation Plan'!L488*(1+E19)^O106,O33*'B. Implementation Plan'!E488*(1+E19)^O106)</f>
        <v>0</v>
      </c>
      <c r="P113" s="488">
        <f t="shared" ca="1" si="38"/>
        <v>0</v>
      </c>
    </row>
    <row r="114" spans="1:16" x14ac:dyDescent="0.3">
      <c r="C114" s="1" t="s">
        <v>711</v>
      </c>
      <c r="E114" s="485">
        <f ca="1">E112+E113</f>
        <v>0</v>
      </c>
      <c r="F114" s="485">
        <f t="shared" ref="F114:O114" ca="1" si="40">F112+F113</f>
        <v>0</v>
      </c>
      <c r="G114" s="485">
        <f t="shared" ca="1" si="40"/>
        <v>0</v>
      </c>
      <c r="H114" s="485">
        <f t="shared" ca="1" si="40"/>
        <v>0</v>
      </c>
      <c r="I114" s="485">
        <f t="shared" ca="1" si="40"/>
        <v>0</v>
      </c>
      <c r="J114" s="485">
        <f t="shared" ca="1" si="40"/>
        <v>0</v>
      </c>
      <c r="K114" s="485">
        <f t="shared" ca="1" si="40"/>
        <v>0</v>
      </c>
      <c r="L114" s="485">
        <f t="shared" ca="1" si="40"/>
        <v>0</v>
      </c>
      <c r="M114" s="485">
        <f t="shared" ca="1" si="40"/>
        <v>0</v>
      </c>
      <c r="N114" s="485">
        <f t="shared" ca="1" si="40"/>
        <v>0</v>
      </c>
      <c r="O114" s="485">
        <f t="shared" ca="1" si="40"/>
        <v>0</v>
      </c>
      <c r="P114" s="489">
        <f t="shared" ca="1" si="38"/>
        <v>0</v>
      </c>
    </row>
    <row r="115" spans="1:16" x14ac:dyDescent="0.3">
      <c r="C115" s="497" t="s">
        <v>722</v>
      </c>
      <c r="E115" s="485">
        <f ca="1">IF(E25&gt;0,IF(OR('B. Implementation Plan'!K458="Yes",'B. Implementation Plan'!K458="Y"),('B. Implementation Plan'!L458*(1+E19)^E106)*('B. Implementation Plan'!P350/'B. Implementation Plan'!P351),('B. Implementation Plan'!E458*(1+E19)^E106)*('B. Implementation Plan'!P350/'B. Implementation Plan'!P351)),0)</f>
        <v>0</v>
      </c>
      <c r="F115" s="485">
        <f ca="1">IF(F25&gt;0,IF(OR('B. Implementation Plan'!K458="Yes",'B. Implementation Plan'!K458="Y"),('B. Implementation Plan'!L458*(1+E19)^F106)*('B. Implementation Plan'!P350/'B. Implementation Plan'!P351),('B. Implementation Plan'!E458*(1+E19)^F106)*('B. Implementation Plan'!P350/'B. Implementation Plan'!P351)),0)</f>
        <v>0</v>
      </c>
      <c r="G115" s="485">
        <f ca="1">IF(G25&gt;0,IF(OR('B. Implementation Plan'!K458="Yes",'B. Implementation Plan'!K458="Y"),('B. Implementation Plan'!L458*(1+E19)^G106)*('B. Implementation Plan'!P350/'B. Implementation Plan'!P351),('B. Implementation Plan'!E458*(1+E19)^G106)*('B. Implementation Plan'!P350/'B. Implementation Plan'!P351)),0)</f>
        <v>0</v>
      </c>
      <c r="H115" s="485">
        <f ca="1">IF(H25&gt;0,IF(OR('B. Implementation Plan'!K458="Yes",'B. Implementation Plan'!K458="Y"),('B. Implementation Plan'!L458*(1+E19)^H106)*('B. Implementation Plan'!P350/'B. Implementation Plan'!P351),('B. Implementation Plan'!E458*(1+E19)^H106)*('B. Implementation Plan'!P350/'B. Implementation Plan'!P351)),0)</f>
        <v>0</v>
      </c>
      <c r="I115" s="485">
        <f ca="1">IF(I25&gt;0,IF(OR('B. Implementation Plan'!K458="Yes",'B. Implementation Plan'!K458="Y"),('B. Implementation Plan'!L458*(1+E19)^I106)*('B. Implementation Plan'!P350/'B. Implementation Plan'!P351),('B. Implementation Plan'!E458*(1+E19)^I106)*('B. Implementation Plan'!P350/'B. Implementation Plan'!P351)),0)</f>
        <v>0</v>
      </c>
      <c r="J115" s="485">
        <f ca="1">IF(J25&gt;0,IF(OR('B. Implementation Plan'!K458="Yes",'B. Implementation Plan'!K458="Y"),('B. Implementation Plan'!L458*(1+E19)^J106)*('B. Implementation Plan'!P350/'B. Implementation Plan'!P351),('B. Implementation Plan'!E458*(1+E19)^J106)*('B. Implementation Plan'!P350/'B. Implementation Plan'!P351)),0)</f>
        <v>0</v>
      </c>
      <c r="K115" s="485">
        <f ca="1">IF(K25&gt;0,IF(OR('B. Implementation Plan'!K458="Yes",'B. Implementation Plan'!K458="Y"),('B. Implementation Plan'!L458*(1+E19)^K106)*('B. Implementation Plan'!P350/'B. Implementation Plan'!P351),('B. Implementation Plan'!E458*(1+E19)^K106)*('B. Implementation Plan'!P350/'B. Implementation Plan'!P351)),0)</f>
        <v>0</v>
      </c>
      <c r="L115" s="485">
        <f ca="1">IF(L25&gt;0,IF(OR('B. Implementation Plan'!K458="Yes",'B. Implementation Plan'!K458="Y"),('B. Implementation Plan'!L458*(1+E19)^L106)*('B. Implementation Plan'!P350/'B. Implementation Plan'!P351),('B. Implementation Plan'!E458*(1+E19)^L106)*('B. Implementation Plan'!P350/'B. Implementation Plan'!P351)),0)</f>
        <v>0</v>
      </c>
      <c r="M115" s="485">
        <f ca="1">IF(M25&gt;0,IF(OR('B. Implementation Plan'!K458="Yes",'B. Implementation Plan'!K458="Y"),('B. Implementation Plan'!L458*(1+E19)^M106)*('B. Implementation Plan'!P350/'B. Implementation Plan'!P351),('B. Implementation Plan'!E458*(1+E19)^M106)*('B. Implementation Plan'!P350/'B. Implementation Plan'!P351)),0)</f>
        <v>0</v>
      </c>
      <c r="N115" s="485">
        <f ca="1">IF(N25&gt;0,IF(OR('B. Implementation Plan'!K458="Yes",'B. Implementation Plan'!K458="Y"),('B. Implementation Plan'!L458*(1+E19)^N106)*('B. Implementation Plan'!P350/'B. Implementation Plan'!P351),('B. Implementation Plan'!E458*(1+E19)^N106)*('B. Implementation Plan'!P350/'B. Implementation Plan'!P351)),0)</f>
        <v>0</v>
      </c>
      <c r="O115" s="485">
        <f ca="1">IF(O25&gt;0,IF(OR('B. Implementation Plan'!K458="Yes",'B. Implementation Plan'!K458="Y"),('B. Implementation Plan'!L458*(1+E19)^O106)*('B. Implementation Plan'!P350/'B. Implementation Plan'!P351),('B. Implementation Plan'!E458*(1+E19)^O106)*('B. Implementation Plan'!P350/'B. Implementation Plan'!P351)),0)</f>
        <v>0</v>
      </c>
      <c r="P115" s="489">
        <f t="shared" ca="1" si="38"/>
        <v>0</v>
      </c>
    </row>
    <row r="116" spans="1:16" s="1" customFormat="1" x14ac:dyDescent="0.3">
      <c r="C116" s="1" t="s">
        <v>697</v>
      </c>
      <c r="E116" s="485">
        <f t="shared" ref="E116:O116" ca="1" si="41">E107+E111+E114+E115</f>
        <v>0</v>
      </c>
      <c r="F116" s="485">
        <f t="shared" ca="1" si="41"/>
        <v>0</v>
      </c>
      <c r="G116" s="485">
        <f t="shared" ca="1" si="41"/>
        <v>0</v>
      </c>
      <c r="H116" s="485">
        <f t="shared" ca="1" si="41"/>
        <v>0</v>
      </c>
      <c r="I116" s="485">
        <f t="shared" ca="1" si="41"/>
        <v>0</v>
      </c>
      <c r="J116" s="485">
        <f t="shared" ca="1" si="41"/>
        <v>0</v>
      </c>
      <c r="K116" s="485">
        <f t="shared" ca="1" si="41"/>
        <v>0</v>
      </c>
      <c r="L116" s="485">
        <f t="shared" ca="1" si="41"/>
        <v>0</v>
      </c>
      <c r="M116" s="485">
        <f t="shared" ca="1" si="41"/>
        <v>0</v>
      </c>
      <c r="N116" s="485">
        <f t="shared" ca="1" si="41"/>
        <v>0</v>
      </c>
      <c r="O116" s="485">
        <f t="shared" ca="1" si="41"/>
        <v>0</v>
      </c>
      <c r="P116" s="489">
        <f t="shared" ca="1" si="38"/>
        <v>0</v>
      </c>
    </row>
    <row r="117" spans="1:16" x14ac:dyDescent="0.3">
      <c r="C117" s="433" t="s">
        <v>714</v>
      </c>
      <c r="E117" s="482">
        <f ca="1">'B. Implementation Plan'!E493*(E103+E116)</f>
        <v>0</v>
      </c>
      <c r="F117" s="482">
        <f ca="1">'B. Implementation Plan'!E493*(F103+F116)</f>
        <v>0</v>
      </c>
      <c r="G117" s="482">
        <f ca="1">'B. Implementation Plan'!E493*(G103+G116)</f>
        <v>0</v>
      </c>
      <c r="H117" s="482">
        <f ca="1">'B. Implementation Plan'!E493*(H103+H116)</f>
        <v>0</v>
      </c>
      <c r="I117" s="482">
        <f ca="1">'B. Implementation Plan'!E493*(I103+I116)</f>
        <v>0</v>
      </c>
      <c r="J117" s="482">
        <f ca="1">'B. Implementation Plan'!E493*(J103+J116)</f>
        <v>0</v>
      </c>
      <c r="K117" s="482">
        <f ca="1">'B. Implementation Plan'!E493*(K103+K116)</f>
        <v>0</v>
      </c>
      <c r="L117" s="482">
        <f ca="1">'B. Implementation Plan'!E493*(L103+L116)</f>
        <v>0</v>
      </c>
      <c r="M117" s="482">
        <f ca="1">'B. Implementation Plan'!E493*(M103+M116)</f>
        <v>0</v>
      </c>
      <c r="N117" s="482">
        <f ca="1">'B. Implementation Plan'!E493*(N103+N116)</f>
        <v>0</v>
      </c>
      <c r="O117" s="482">
        <f ca="1">'B. Implementation Plan'!E493*(O103+O116)</f>
        <v>0</v>
      </c>
      <c r="P117" s="488">
        <f t="shared" ca="1" si="38"/>
        <v>0</v>
      </c>
    </row>
    <row r="118" spans="1:16" x14ac:dyDescent="0.3">
      <c r="C118" s="420" t="s">
        <v>715</v>
      </c>
      <c r="E118" s="482">
        <f ca="1">'B. Implementation Plan'!E494*(E103+E116)</f>
        <v>0</v>
      </c>
      <c r="F118" s="482">
        <f ca="1">'B. Implementation Plan'!E494*(F103+F116)</f>
        <v>0</v>
      </c>
      <c r="G118" s="482">
        <f ca="1">'B. Implementation Plan'!E494*(G103+G116)</f>
        <v>0</v>
      </c>
      <c r="H118" s="482">
        <f ca="1">'B. Implementation Plan'!E494*(H103+H116)</f>
        <v>0</v>
      </c>
      <c r="I118" s="482">
        <f ca="1">'B. Implementation Plan'!E494*(I103+I116)</f>
        <v>0</v>
      </c>
      <c r="J118" s="482">
        <f ca="1">'B. Implementation Plan'!E494*(J103+J116)</f>
        <v>0</v>
      </c>
      <c r="K118" s="482">
        <f ca="1">'B. Implementation Plan'!E494*(K103+K116)</f>
        <v>0</v>
      </c>
      <c r="L118" s="482">
        <f ca="1">'B. Implementation Plan'!E494*(L103+L116)</f>
        <v>0</v>
      </c>
      <c r="M118" s="482">
        <f ca="1">'B. Implementation Plan'!E494*(M103+M116)</f>
        <v>0</v>
      </c>
      <c r="N118" s="482">
        <f ca="1">'B. Implementation Plan'!E494*(N103+N116)</f>
        <v>0</v>
      </c>
      <c r="O118" s="482">
        <f ca="1">'B. Implementation Plan'!E494*(O103+O116)</f>
        <v>0</v>
      </c>
      <c r="P118" s="488">
        <f t="shared" ca="1" si="38"/>
        <v>0</v>
      </c>
    </row>
    <row r="119" spans="1:16" x14ac:dyDescent="0.3">
      <c r="C119" s="484" t="s">
        <v>723</v>
      </c>
      <c r="E119" s="482">
        <f ca="1">E117+E118</f>
        <v>0</v>
      </c>
      <c r="F119" s="482">
        <f t="shared" ref="F119:O119" ca="1" si="42">F117+F118</f>
        <v>0</v>
      </c>
      <c r="G119" s="482">
        <f t="shared" ca="1" si="42"/>
        <v>0</v>
      </c>
      <c r="H119" s="482">
        <f t="shared" ca="1" si="42"/>
        <v>0</v>
      </c>
      <c r="I119" s="482">
        <f t="shared" ca="1" si="42"/>
        <v>0</v>
      </c>
      <c r="J119" s="482">
        <f t="shared" ca="1" si="42"/>
        <v>0</v>
      </c>
      <c r="K119" s="482">
        <f t="shared" ca="1" si="42"/>
        <v>0</v>
      </c>
      <c r="L119" s="482">
        <f t="shared" ca="1" si="42"/>
        <v>0</v>
      </c>
      <c r="M119" s="482">
        <f t="shared" ca="1" si="42"/>
        <v>0</v>
      </c>
      <c r="N119" s="482">
        <f t="shared" ca="1" si="42"/>
        <v>0</v>
      </c>
      <c r="O119" s="482">
        <f t="shared" ca="1" si="42"/>
        <v>0</v>
      </c>
      <c r="P119" s="488">
        <f t="shared" ca="1" si="38"/>
        <v>0</v>
      </c>
    </row>
    <row r="120" spans="1:16" x14ac:dyDescent="0.3">
      <c r="C120" s="1" t="s">
        <v>718</v>
      </c>
      <c r="E120" s="485">
        <f t="shared" ref="E120:O120" ca="1" si="43">E103+E116+E119</f>
        <v>0</v>
      </c>
      <c r="F120" s="485">
        <f t="shared" ca="1" si="43"/>
        <v>0</v>
      </c>
      <c r="G120" s="485">
        <f t="shared" ca="1" si="43"/>
        <v>0</v>
      </c>
      <c r="H120" s="485">
        <f t="shared" ca="1" si="43"/>
        <v>0</v>
      </c>
      <c r="I120" s="485">
        <f t="shared" ca="1" si="43"/>
        <v>0</v>
      </c>
      <c r="J120" s="485">
        <f t="shared" ca="1" si="43"/>
        <v>0</v>
      </c>
      <c r="K120" s="485">
        <f t="shared" ca="1" si="43"/>
        <v>0</v>
      </c>
      <c r="L120" s="485">
        <f t="shared" ca="1" si="43"/>
        <v>0</v>
      </c>
      <c r="M120" s="485">
        <f t="shared" ca="1" si="43"/>
        <v>0</v>
      </c>
      <c r="N120" s="485">
        <f t="shared" ca="1" si="43"/>
        <v>0</v>
      </c>
      <c r="O120" s="485">
        <f t="shared" ca="1" si="43"/>
        <v>0</v>
      </c>
      <c r="P120" s="489">
        <f t="shared" ca="1" si="38"/>
        <v>0</v>
      </c>
    </row>
    <row r="121" spans="1:16" x14ac:dyDescent="0.3">
      <c r="C121" s="1" t="s">
        <v>744</v>
      </c>
      <c r="E121" s="504">
        <f t="shared" ref="E121:O121" ca="1" si="44">E120*E25</f>
        <v>0</v>
      </c>
      <c r="F121" s="504">
        <f t="shared" ca="1" si="44"/>
        <v>0</v>
      </c>
      <c r="G121" s="504">
        <f t="shared" ca="1" si="44"/>
        <v>0</v>
      </c>
      <c r="H121" s="504">
        <f t="shared" ca="1" si="44"/>
        <v>0</v>
      </c>
      <c r="I121" s="504">
        <f t="shared" ca="1" si="44"/>
        <v>0</v>
      </c>
      <c r="J121" s="504">
        <f t="shared" ca="1" si="44"/>
        <v>0</v>
      </c>
      <c r="K121" s="504">
        <f t="shared" ca="1" si="44"/>
        <v>0</v>
      </c>
      <c r="L121" s="504">
        <f t="shared" ca="1" si="44"/>
        <v>0</v>
      </c>
      <c r="M121" s="504">
        <f t="shared" ca="1" si="44"/>
        <v>0</v>
      </c>
      <c r="N121" s="504">
        <f t="shared" ca="1" si="44"/>
        <v>0</v>
      </c>
      <c r="O121" s="504">
        <f t="shared" ca="1" si="44"/>
        <v>0</v>
      </c>
      <c r="P121" s="503">
        <f ca="1">SUM(E121:O121)</f>
        <v>0</v>
      </c>
    </row>
    <row r="122" spans="1:16" s="280" customFormat="1" ht="16.2" thickBot="1" x14ac:dyDescent="0.35">
      <c r="C122" s="511" t="s">
        <v>786</v>
      </c>
      <c r="E122" s="509">
        <f t="shared" ref="E122:O122" ca="1" si="45">IF(E29&gt;0,E120/E29,0)</f>
        <v>0</v>
      </c>
      <c r="F122" s="509">
        <f t="shared" ca="1" si="45"/>
        <v>0</v>
      </c>
      <c r="G122" s="509">
        <f t="shared" ca="1" si="45"/>
        <v>0</v>
      </c>
      <c r="H122" s="509">
        <f t="shared" ca="1" si="45"/>
        <v>0</v>
      </c>
      <c r="I122" s="509">
        <f t="shared" ca="1" si="45"/>
        <v>0</v>
      </c>
      <c r="J122" s="509">
        <f t="shared" ca="1" si="45"/>
        <v>0</v>
      </c>
      <c r="K122" s="509">
        <f t="shared" ca="1" si="45"/>
        <v>0</v>
      </c>
      <c r="L122" s="509">
        <f t="shared" ca="1" si="45"/>
        <v>0</v>
      </c>
      <c r="M122" s="509">
        <f t="shared" ca="1" si="45"/>
        <v>0</v>
      </c>
      <c r="N122" s="509">
        <f t="shared" ca="1" si="45"/>
        <v>0</v>
      </c>
      <c r="O122" s="509">
        <f t="shared" ca="1" si="45"/>
        <v>0</v>
      </c>
      <c r="P122" s="510">
        <f t="shared" ca="1" si="38"/>
        <v>0</v>
      </c>
    </row>
    <row r="123" spans="1:16" x14ac:dyDescent="0.3">
      <c r="E123" s="505"/>
      <c r="P123"/>
    </row>
    <row r="124" spans="1:16" ht="16.2" thickBot="1" x14ac:dyDescent="0.35">
      <c r="B124" s="253" t="s">
        <v>755</v>
      </c>
      <c r="C124" s="254"/>
      <c r="E124" s="469"/>
      <c r="P124"/>
    </row>
    <row r="125" spans="1:16" s="365" customFormat="1" ht="14.55" customHeight="1" x14ac:dyDescent="0.3">
      <c r="A125" s="1"/>
      <c r="B125" s="62"/>
      <c r="D125" s="394"/>
      <c r="E125" s="294">
        <v>0</v>
      </c>
      <c r="F125" s="294">
        <v>1</v>
      </c>
      <c r="G125" s="294">
        <v>2</v>
      </c>
      <c r="H125" s="294">
        <v>3</v>
      </c>
      <c r="I125" s="294">
        <v>4</v>
      </c>
      <c r="J125" s="294">
        <v>5</v>
      </c>
      <c r="K125" s="294">
        <v>6</v>
      </c>
      <c r="L125" s="294">
        <v>7</v>
      </c>
      <c r="M125" s="294">
        <v>8</v>
      </c>
      <c r="N125" s="294">
        <v>9</v>
      </c>
      <c r="O125" s="295">
        <v>10</v>
      </c>
      <c r="P125" s="395" t="s">
        <v>2</v>
      </c>
    </row>
    <row r="126" spans="1:16" hidden="1" outlineLevel="1" x14ac:dyDescent="0.3">
      <c r="C126" s="396" t="s">
        <v>907</v>
      </c>
      <c r="E126" s="482">
        <f ca="1">E47*'B. Implementation Plan'!P370*2080*(1+E19)^E125</f>
        <v>0</v>
      </c>
      <c r="F126" s="482">
        <f ca="1">F47*'B. Implementation Plan'!P370*2080*(1+E19)^F125</f>
        <v>0</v>
      </c>
      <c r="G126" s="482">
        <f ca="1">G47*'B. Implementation Plan'!P370*2080*(1+E19)^G125</f>
        <v>0</v>
      </c>
      <c r="H126" s="482">
        <f ca="1">H47*'B. Implementation Plan'!P370*2080*(1+E19)^H125</f>
        <v>0</v>
      </c>
      <c r="I126" s="482">
        <f ca="1">I47*'B. Implementation Plan'!P370*2080*(1+E19)^I125</f>
        <v>0</v>
      </c>
      <c r="J126" s="482">
        <f ca="1">J47*'B. Implementation Plan'!P370*2080*(1+E19)^J125</f>
        <v>0</v>
      </c>
      <c r="K126" s="482">
        <f ca="1">K47*'B. Implementation Plan'!P370*2080*(1+E19)^K125</f>
        <v>0</v>
      </c>
      <c r="L126" s="482">
        <f ca="1">L47*'B. Implementation Plan'!P370*2080*(1+E19)^L125</f>
        <v>0</v>
      </c>
      <c r="M126" s="482">
        <f ca="1">M47*'B. Implementation Plan'!P370*2080*(1+E19)^M125</f>
        <v>0</v>
      </c>
      <c r="N126" s="482">
        <f ca="1">N47*'B. Implementation Plan'!P370*2080*(1+E19)^N125</f>
        <v>0</v>
      </c>
      <c r="O126" s="482">
        <f ca="1">O47*'B. Implementation Plan'!P370*2080*(1+E19)^O125</f>
        <v>0</v>
      </c>
      <c r="P126" s="488">
        <f t="shared" ref="P126:P182" ca="1" si="46">IF(O126=0,IF(N126=0,IF(M126=0,IF(L126=0,IF(K126=0,IF(J126=0,IF(I126=0,IF(H126=0,IF(G126=0,IF(F126=0,E126,F126),G126),H126),I126),J126),K126),L126),M126),N126),O126)</f>
        <v>0</v>
      </c>
    </row>
    <row r="127" spans="1:16" hidden="1" outlineLevel="1" x14ac:dyDescent="0.3">
      <c r="C127" s="396" t="s">
        <v>908</v>
      </c>
      <c r="E127" s="482">
        <f ca="1">E48*'B. Implementation Plan'!P370*2080*(1+E19)^E125</f>
        <v>0</v>
      </c>
      <c r="F127" s="482">
        <f ca="1">F48*'B. Implementation Plan'!P370*2080*(1+E19)^F125</f>
        <v>0</v>
      </c>
      <c r="G127" s="482">
        <f ca="1">G48*'B. Implementation Plan'!P370*2080*(1+E19)^G125</f>
        <v>0</v>
      </c>
      <c r="H127" s="482">
        <f ca="1">H48*'B. Implementation Plan'!P370*2080*(1+E19)^H125</f>
        <v>0</v>
      </c>
      <c r="I127" s="482">
        <f ca="1">I48*'B. Implementation Plan'!P370*2080*(1+E19)^I125</f>
        <v>0</v>
      </c>
      <c r="J127" s="482">
        <f ca="1">J48*'B. Implementation Plan'!P370*2080*(1+E19)^J125</f>
        <v>0</v>
      </c>
      <c r="K127" s="482">
        <f ca="1">K48*'B. Implementation Plan'!P370*2080*(1+E19)^K125</f>
        <v>0</v>
      </c>
      <c r="L127" s="482">
        <f ca="1">L48*'B. Implementation Plan'!P370*2080*(1+E19)^L125</f>
        <v>0</v>
      </c>
      <c r="M127" s="482">
        <f ca="1">M48*'B. Implementation Plan'!P370*2080*(1+E19)^M125</f>
        <v>0</v>
      </c>
      <c r="N127" s="482">
        <f ca="1">N48*'B. Implementation Plan'!P370*2080*(1+E19)^N125</f>
        <v>0</v>
      </c>
      <c r="O127" s="482">
        <f ca="1">O48*'B. Implementation Plan'!P370*2080*(1+E19)^O125</f>
        <v>0</v>
      </c>
      <c r="P127" s="488">
        <f t="shared" ca="1" si="46"/>
        <v>0</v>
      </c>
    </row>
    <row r="128" spans="1:16" hidden="1" outlineLevel="1" x14ac:dyDescent="0.3">
      <c r="C128" s="396" t="s">
        <v>909</v>
      </c>
      <c r="E128" s="482">
        <f ca="1">E49*'B. Implementation Plan'!P370*2080*(1+E19)^E125</f>
        <v>0</v>
      </c>
      <c r="F128" s="482">
        <f ca="1">F49*'B. Implementation Plan'!P370*2080*(1+E19)^F125</f>
        <v>0</v>
      </c>
      <c r="G128" s="482">
        <f ca="1">G49*'B. Implementation Plan'!P370*2080*(1+E19)^G125</f>
        <v>0</v>
      </c>
      <c r="H128" s="482">
        <f ca="1">H49*'B. Implementation Plan'!P370*2080*(1+E19)^H125</f>
        <v>0</v>
      </c>
      <c r="I128" s="482">
        <f ca="1">I49*'B. Implementation Plan'!P370*2080*(1+E19)^I125</f>
        <v>0</v>
      </c>
      <c r="J128" s="482">
        <f ca="1">J49*'B. Implementation Plan'!P370*2080*(1+E19)^J125</f>
        <v>0</v>
      </c>
      <c r="K128" s="482">
        <f ca="1">K49*'B. Implementation Plan'!P370*2080*(1+E19)^K125</f>
        <v>0</v>
      </c>
      <c r="L128" s="482">
        <f ca="1">L49*'B. Implementation Plan'!P370*2080*(1+E19)^L125</f>
        <v>0</v>
      </c>
      <c r="M128" s="482">
        <f ca="1">M49*'B. Implementation Plan'!P370*2080*(1+E19)^M125</f>
        <v>0</v>
      </c>
      <c r="N128" s="482">
        <f ca="1">N49*'B. Implementation Plan'!P370*2080*(1+E19)^N125</f>
        <v>0</v>
      </c>
      <c r="O128" s="482">
        <f ca="1">O49*'B. Implementation Plan'!P370*2080*(1+E19)^O125</f>
        <v>0</v>
      </c>
      <c r="P128" s="488">
        <f t="shared" ca="1" si="46"/>
        <v>0</v>
      </c>
    </row>
    <row r="129" spans="3:16" hidden="1" outlineLevel="1" x14ac:dyDescent="0.3">
      <c r="C129" s="478" t="s">
        <v>910</v>
      </c>
      <c r="E129" s="482">
        <f ca="1">E52*'B. Implementation Plan'!P369*2080*(1+E19)^E125</f>
        <v>0</v>
      </c>
      <c r="F129" s="482">
        <f ca="1">F52*'B. Implementation Plan'!P369*2080*(1+E19)^F125</f>
        <v>0</v>
      </c>
      <c r="G129" s="482">
        <f ca="1">G52*'B. Implementation Plan'!P369*2080*(1+E19)^G125</f>
        <v>0</v>
      </c>
      <c r="H129" s="482">
        <f ca="1">H52*'B. Implementation Plan'!P369*2080*(1+E19)^H125</f>
        <v>0</v>
      </c>
      <c r="I129" s="482">
        <f ca="1">I52*'B. Implementation Plan'!P369*2080*(1+E19)^I125</f>
        <v>0</v>
      </c>
      <c r="J129" s="482">
        <f ca="1">J52*'B. Implementation Plan'!P369*2080*(1+E19)^J125</f>
        <v>0</v>
      </c>
      <c r="K129" s="482">
        <f ca="1">K52*'B. Implementation Plan'!P369*2080*(1+E19)^K125</f>
        <v>0</v>
      </c>
      <c r="L129" s="482">
        <f ca="1">L52*'B. Implementation Plan'!P369*2080*(1+E19)^L125</f>
        <v>0</v>
      </c>
      <c r="M129" s="482">
        <f ca="1">M52*'B. Implementation Plan'!P369*2080*(1+E19)^M125</f>
        <v>0</v>
      </c>
      <c r="N129" s="482">
        <f ca="1">N52*'B. Implementation Plan'!P369*2080*(1+E19)^N125</f>
        <v>0</v>
      </c>
      <c r="O129" s="482">
        <f ca="1">O52*'B. Implementation Plan'!P369*2080*(1+E19)^O125</f>
        <v>0</v>
      </c>
      <c r="P129" s="488">
        <f t="shared" ca="1" si="46"/>
        <v>0</v>
      </c>
    </row>
    <row r="130" spans="3:16" hidden="1" outlineLevel="1" x14ac:dyDescent="0.3">
      <c r="C130" s="478" t="s">
        <v>911</v>
      </c>
      <c r="E130" s="482">
        <f ca="1">E53*'B. Implementation Plan'!P369*2080*(1+E19)^E125</f>
        <v>0</v>
      </c>
      <c r="F130" s="482">
        <f ca="1">F53*'B. Implementation Plan'!P369*2080*(1+E19)^F125</f>
        <v>0</v>
      </c>
      <c r="G130" s="482">
        <f ca="1">G53*'B. Implementation Plan'!P369*2080*(1+E19)^G125</f>
        <v>0</v>
      </c>
      <c r="H130" s="482">
        <f ca="1">H53*'B. Implementation Plan'!P369*2080*(1+E19)^H125</f>
        <v>0</v>
      </c>
      <c r="I130" s="482">
        <f ca="1">I53*'B. Implementation Plan'!P369*2080*(1+E19)^I125</f>
        <v>0</v>
      </c>
      <c r="J130" s="482">
        <f ca="1">J53*'B. Implementation Plan'!P369*2080*(1+E19)^J125</f>
        <v>0</v>
      </c>
      <c r="K130" s="482">
        <f ca="1">K53*'B. Implementation Plan'!P369*2080*(1+E19)^K125</f>
        <v>0</v>
      </c>
      <c r="L130" s="482">
        <f ca="1">L53*'B. Implementation Plan'!P369*2080*(1+E19)^L125</f>
        <v>0</v>
      </c>
      <c r="M130" s="482">
        <f ca="1">M53*'B. Implementation Plan'!P369*2080*(1+E19)^M125</f>
        <v>0</v>
      </c>
      <c r="N130" s="482">
        <f ca="1">N53*'B. Implementation Plan'!P369*2080*(1+E19)^N125</f>
        <v>0</v>
      </c>
      <c r="O130" s="482">
        <f ca="1">O53*'B. Implementation Plan'!P369*2080*(1+E19)^O125</f>
        <v>0</v>
      </c>
      <c r="P130" s="488">
        <f t="shared" ca="1" si="46"/>
        <v>0</v>
      </c>
    </row>
    <row r="131" spans="3:16" hidden="1" outlineLevel="1" x14ac:dyDescent="0.3">
      <c r="C131" s="478" t="s">
        <v>912</v>
      </c>
      <c r="E131" s="482">
        <f ca="1">E54*'B. Implementation Plan'!P369*2080*(1+E19)^E125</f>
        <v>0</v>
      </c>
      <c r="F131" s="482">
        <f ca="1">F54*'B. Implementation Plan'!P369*2080*(1+E19)^F125</f>
        <v>0</v>
      </c>
      <c r="G131" s="482">
        <f ca="1">G54*'B. Implementation Plan'!P369*2080*(1+E19)^G125</f>
        <v>0</v>
      </c>
      <c r="H131" s="482">
        <f ca="1">H54*'B. Implementation Plan'!P369*2080*(1+E19)^H125</f>
        <v>0</v>
      </c>
      <c r="I131" s="482">
        <f ca="1">I54*'B. Implementation Plan'!P369*2080*(1+E19)^I125</f>
        <v>0</v>
      </c>
      <c r="J131" s="482">
        <f ca="1">J54*'B. Implementation Plan'!P369*2080*(1+E19)^J125</f>
        <v>0</v>
      </c>
      <c r="K131" s="482">
        <f ca="1">K54*'B. Implementation Plan'!P369*2080*(1+E19)^K125</f>
        <v>0</v>
      </c>
      <c r="L131" s="482">
        <f ca="1">L54*'B. Implementation Plan'!P369*2080*(1+E19)^L125</f>
        <v>0</v>
      </c>
      <c r="M131" s="482">
        <f ca="1">M54*'B. Implementation Plan'!P369*2080*(1+E19)^M125</f>
        <v>0</v>
      </c>
      <c r="N131" s="482">
        <f ca="1">N54*'B. Implementation Plan'!P369*2080*(1+E19)^N125</f>
        <v>0</v>
      </c>
      <c r="O131" s="482">
        <f ca="1">O54*'B. Implementation Plan'!P369*2080*(1+E19)^O125</f>
        <v>0</v>
      </c>
      <c r="P131" s="488">
        <f t="shared" ca="1" si="46"/>
        <v>0</v>
      </c>
    </row>
    <row r="132" spans="3:16" hidden="1" outlineLevel="1" x14ac:dyDescent="0.3">
      <c r="C132" s="396" t="s">
        <v>913</v>
      </c>
      <c r="E132" s="482">
        <f ca="1">E57*'B. Implementation Plan'!P368*2080*(1+E19)^E125</f>
        <v>0</v>
      </c>
      <c r="F132" s="482">
        <f ca="1">F57*'B. Implementation Plan'!P368*2080*(1+E19)^F125</f>
        <v>0</v>
      </c>
      <c r="G132" s="482">
        <f ca="1">G57*'B. Implementation Plan'!P368*2080*(1+E19)^G125</f>
        <v>0</v>
      </c>
      <c r="H132" s="482">
        <f ca="1">H57*'B. Implementation Plan'!P368*2080*(1+E19)^H125</f>
        <v>0</v>
      </c>
      <c r="I132" s="482">
        <f ca="1">I57*'B. Implementation Plan'!P368*2080*(1+E19)^I125</f>
        <v>0</v>
      </c>
      <c r="J132" s="482">
        <f ca="1">J57*'B. Implementation Plan'!P368*2080*(1+E19)^J125</f>
        <v>0</v>
      </c>
      <c r="K132" s="482">
        <f ca="1">K57*'B. Implementation Plan'!P368*2080*(1+E19)^K125</f>
        <v>0</v>
      </c>
      <c r="L132" s="482">
        <f ca="1">L57*'B. Implementation Plan'!P368*2080*(1+E19)^L125</f>
        <v>0</v>
      </c>
      <c r="M132" s="482">
        <f ca="1">M57*'B. Implementation Plan'!P368*2080*(1+E19)^M125</f>
        <v>0</v>
      </c>
      <c r="N132" s="482">
        <f ca="1">N57*'B. Implementation Plan'!P368*2080*(1+E19)^N125</f>
        <v>0</v>
      </c>
      <c r="O132" s="482">
        <f ca="1">O57*'B. Implementation Plan'!P368*2080*(1+E19)^O125</f>
        <v>0</v>
      </c>
      <c r="P132" s="488">
        <f t="shared" ca="1" si="46"/>
        <v>0</v>
      </c>
    </row>
    <row r="133" spans="3:16" hidden="1" outlineLevel="1" x14ac:dyDescent="0.3">
      <c r="C133" s="396" t="s">
        <v>914</v>
      </c>
      <c r="E133" s="482">
        <f ca="1">E58*'B. Implementation Plan'!P368*2080*(1+E19)^E125</f>
        <v>0</v>
      </c>
      <c r="F133" s="482">
        <f ca="1">F58*'B. Implementation Plan'!P368*2080*(1+E19)^F125</f>
        <v>0</v>
      </c>
      <c r="G133" s="482">
        <f ca="1">G58*'B. Implementation Plan'!P368*2080*(1+E19)^G125</f>
        <v>0</v>
      </c>
      <c r="H133" s="482">
        <f ca="1">H58*'B. Implementation Plan'!P368*2080*(1+E19)^H125</f>
        <v>0</v>
      </c>
      <c r="I133" s="482">
        <f ca="1">I58*'B. Implementation Plan'!P368*2080*(1+E19)^I125</f>
        <v>0</v>
      </c>
      <c r="J133" s="482">
        <f ca="1">J58*'B. Implementation Plan'!P368*2080*(1+E19)^J125</f>
        <v>0</v>
      </c>
      <c r="K133" s="482">
        <f ca="1">K58*'B. Implementation Plan'!P368*2080*(1+E19)^K125</f>
        <v>0</v>
      </c>
      <c r="L133" s="482">
        <f ca="1">L58*'B. Implementation Plan'!P368*2080*(1+E19)^L125</f>
        <v>0</v>
      </c>
      <c r="M133" s="482">
        <f ca="1">M58*'B. Implementation Plan'!P368*2080*(1+E19)^M125</f>
        <v>0</v>
      </c>
      <c r="N133" s="482">
        <f ca="1">N58*'B. Implementation Plan'!P368*2080*(1+E19)^N125</f>
        <v>0</v>
      </c>
      <c r="O133" s="482">
        <f ca="1">O58*'B. Implementation Plan'!P368*2080*(1+E19)^O125</f>
        <v>0</v>
      </c>
      <c r="P133" s="488">
        <f t="shared" ca="1" si="46"/>
        <v>0</v>
      </c>
    </row>
    <row r="134" spans="3:16" hidden="1" outlineLevel="1" x14ac:dyDescent="0.3">
      <c r="C134" s="396" t="s">
        <v>915</v>
      </c>
      <c r="E134" s="482">
        <f ca="1">E59*'B. Implementation Plan'!P368*2080*(1+E19)^E125</f>
        <v>0</v>
      </c>
      <c r="F134" s="482">
        <f ca="1">F59*'B. Implementation Plan'!P368*2080*(1+E19)^F125</f>
        <v>0</v>
      </c>
      <c r="G134" s="482">
        <f ca="1">G59*'B. Implementation Plan'!P368*2080*(1+E19)^G125</f>
        <v>0</v>
      </c>
      <c r="H134" s="482">
        <f ca="1">H59*'B. Implementation Plan'!P368*2080*(1+E19)^H125</f>
        <v>0</v>
      </c>
      <c r="I134" s="482">
        <f ca="1">I59*'B. Implementation Plan'!P368*2080*(1+E19)^I125</f>
        <v>0</v>
      </c>
      <c r="J134" s="482">
        <f ca="1">J59*'B. Implementation Plan'!P368*2080*(1+E19)^J125</f>
        <v>0</v>
      </c>
      <c r="K134" s="482">
        <f ca="1">K59*'B. Implementation Plan'!P368*2080*(1+E19)^K125</f>
        <v>0</v>
      </c>
      <c r="L134" s="482">
        <f ca="1">L59*'B. Implementation Plan'!P368*2080*(1+E19)^L125</f>
        <v>0</v>
      </c>
      <c r="M134" s="482">
        <f ca="1">M59*'B. Implementation Plan'!P368*2080*(1+E19)^M125</f>
        <v>0</v>
      </c>
      <c r="N134" s="482">
        <f ca="1">N59*'B. Implementation Plan'!P368*2080*(1+E19)^N125</f>
        <v>0</v>
      </c>
      <c r="O134" s="482">
        <f ca="1">O59*'B. Implementation Plan'!P368*2080*(1+E19)^O125</f>
        <v>0</v>
      </c>
      <c r="P134" s="488">
        <f t="shared" ca="1" si="46"/>
        <v>0</v>
      </c>
    </row>
    <row r="135" spans="3:16" hidden="1" outlineLevel="1" x14ac:dyDescent="0.3">
      <c r="C135" s="478" t="s">
        <v>745</v>
      </c>
      <c r="E135" s="482">
        <f ca="1">E62*'B. Implementation Plan'!P179*(1+E19)^E125</f>
        <v>0</v>
      </c>
      <c r="F135" s="482">
        <f ca="1">F62*'B. Implementation Plan'!P179*(1+E19)^F125</f>
        <v>0</v>
      </c>
      <c r="G135" s="482">
        <f ca="1">G62*'B. Implementation Plan'!P179*(1+E19)^G125</f>
        <v>0</v>
      </c>
      <c r="H135" s="482">
        <f ca="1">H62*'B. Implementation Plan'!P179*(1+E19)^H125</f>
        <v>0</v>
      </c>
      <c r="I135" s="482">
        <f ca="1">I62*'B. Implementation Plan'!P179*(1+E19)^I125</f>
        <v>0</v>
      </c>
      <c r="J135" s="482">
        <f ca="1">J62*'B. Implementation Plan'!P179*(1+E19)^J125</f>
        <v>0</v>
      </c>
      <c r="K135" s="482">
        <f ca="1">K62*'B. Implementation Plan'!P179*(1+E19)^K125</f>
        <v>0</v>
      </c>
      <c r="L135" s="482">
        <f ca="1">L62*'B. Implementation Plan'!P179*(1+E19)^L125</f>
        <v>0</v>
      </c>
      <c r="M135" s="482">
        <f ca="1">M62*'B. Implementation Plan'!P179*(1+E19)^M125</f>
        <v>0</v>
      </c>
      <c r="N135" s="482">
        <f ca="1">N62*'B. Implementation Plan'!P179*(1+E19)^N125</f>
        <v>0</v>
      </c>
      <c r="O135" s="482">
        <f ca="1">O62*'B. Implementation Plan'!P179*(1+E19)^O125</f>
        <v>0</v>
      </c>
      <c r="P135" s="488">
        <f t="shared" ca="1" si="46"/>
        <v>0</v>
      </c>
    </row>
    <row r="136" spans="3:16" hidden="1" outlineLevel="1" x14ac:dyDescent="0.3">
      <c r="C136" s="478" t="s">
        <v>746</v>
      </c>
      <c r="E136" s="482">
        <f ca="1">E63*'B. Implementation Plan'!P179*(1+E19)^E125</f>
        <v>0</v>
      </c>
      <c r="F136" s="482">
        <f ca="1">F63*'B. Implementation Plan'!P179*(1+E19)^F125</f>
        <v>0</v>
      </c>
      <c r="G136" s="482">
        <f ca="1">G63*'B. Implementation Plan'!P179*(1+E19)^G125</f>
        <v>0</v>
      </c>
      <c r="H136" s="482">
        <f ca="1">H63*'B. Implementation Plan'!P179*(1+E19)^H125</f>
        <v>0</v>
      </c>
      <c r="I136" s="482">
        <f ca="1">I63*'B. Implementation Plan'!P179*(1+E19)^I125</f>
        <v>0</v>
      </c>
      <c r="J136" s="482">
        <f ca="1">J63*'B. Implementation Plan'!P179*(1+E19)^J125</f>
        <v>0</v>
      </c>
      <c r="K136" s="482">
        <f ca="1">K63*'B. Implementation Plan'!P179*(1+E19)^K125</f>
        <v>0</v>
      </c>
      <c r="L136" s="482">
        <f ca="1">L63*'B. Implementation Plan'!P179*(1+E19)^L125</f>
        <v>0</v>
      </c>
      <c r="M136" s="482">
        <f ca="1">M63*'B. Implementation Plan'!P179*(1+E19)^M125</f>
        <v>0</v>
      </c>
      <c r="N136" s="482">
        <f ca="1">N63*'B. Implementation Plan'!P179*(1+E19)^N125</f>
        <v>0</v>
      </c>
      <c r="O136" s="482">
        <f ca="1">O63*'B. Implementation Plan'!P179*(1+E19)^O125</f>
        <v>0</v>
      </c>
      <c r="P136" s="488">
        <f t="shared" ca="1" si="46"/>
        <v>0</v>
      </c>
    </row>
    <row r="137" spans="3:16" hidden="1" outlineLevel="1" x14ac:dyDescent="0.3">
      <c r="C137" s="478" t="s">
        <v>747</v>
      </c>
      <c r="E137" s="482">
        <f ca="1">E64*'B. Implementation Plan'!P179*(1+E19)^E125</f>
        <v>0</v>
      </c>
      <c r="F137" s="482">
        <f ca="1">F64*'B. Implementation Plan'!P179*(1+E19)^F125</f>
        <v>0</v>
      </c>
      <c r="G137" s="482">
        <f ca="1">G64*'B. Implementation Plan'!P179*(1+E19)^G125</f>
        <v>0</v>
      </c>
      <c r="H137" s="482">
        <f ca="1">H64*'B. Implementation Plan'!P179*(1+E19)^H125</f>
        <v>0</v>
      </c>
      <c r="I137" s="482">
        <f ca="1">I64*'B. Implementation Plan'!P179*(1+E19)^I125</f>
        <v>0</v>
      </c>
      <c r="J137" s="482">
        <f ca="1">J64*'B. Implementation Plan'!P179*(1+E19)^J125</f>
        <v>0</v>
      </c>
      <c r="K137" s="482">
        <f ca="1">K64*'B. Implementation Plan'!P179*(1+E19)^K125</f>
        <v>0</v>
      </c>
      <c r="L137" s="482">
        <f ca="1">L64*'B. Implementation Plan'!P179*(1+E19)^L125</f>
        <v>0</v>
      </c>
      <c r="M137" s="482">
        <f ca="1">M64*'B. Implementation Plan'!P179*(1+E19)^M125</f>
        <v>0</v>
      </c>
      <c r="N137" s="482">
        <f ca="1">N64*'B. Implementation Plan'!P179*(1+E19)^N125</f>
        <v>0</v>
      </c>
      <c r="O137" s="482">
        <f ca="1">O64*'B. Implementation Plan'!P179*(1+E19)^O125</f>
        <v>0</v>
      </c>
      <c r="P137" s="488">
        <f t="shared" ca="1" si="46"/>
        <v>0</v>
      </c>
    </row>
    <row r="138" spans="3:16" hidden="1" outlineLevel="1" x14ac:dyDescent="0.3">
      <c r="C138" s="396" t="s">
        <v>917</v>
      </c>
      <c r="E138" s="482">
        <f ca="1">E75*'B. Implementation Plan'!P372*2080*(1+E19)^E125</f>
        <v>0</v>
      </c>
      <c r="F138" s="482">
        <f ca="1">F75*'B. Implementation Plan'!P372*2080*(1+E19)^F125</f>
        <v>0</v>
      </c>
      <c r="G138" s="482">
        <f ca="1">G75*'B. Implementation Plan'!P372*2080*(1+E19)^G125</f>
        <v>0</v>
      </c>
      <c r="H138" s="482">
        <f ca="1">H75*'B. Implementation Plan'!P372*2080*(1+E19)^H125</f>
        <v>0</v>
      </c>
      <c r="I138" s="482">
        <f ca="1">I75*'B. Implementation Plan'!P372*2080*(1+E19)^I125</f>
        <v>0</v>
      </c>
      <c r="J138" s="482">
        <f ca="1">J75*'B. Implementation Plan'!P372*2080*(1+E19)^J125</f>
        <v>0</v>
      </c>
      <c r="K138" s="482">
        <f ca="1">K75*'B. Implementation Plan'!P372*2080*(1+E19)^K125</f>
        <v>0</v>
      </c>
      <c r="L138" s="482">
        <f ca="1">L75*'B. Implementation Plan'!P372*2080*(1+E19)^L125</f>
        <v>0</v>
      </c>
      <c r="M138" s="482">
        <f ca="1">M75*'B. Implementation Plan'!P372*2080*(1+E19)^M125</f>
        <v>0</v>
      </c>
      <c r="N138" s="482">
        <f ca="1">N75*'B. Implementation Plan'!P372*2080*(1+E19)^N125</f>
        <v>0</v>
      </c>
      <c r="O138" s="482">
        <f ca="1">O75*'B. Implementation Plan'!P372*2080*(1+E19)^O125</f>
        <v>0</v>
      </c>
      <c r="P138" s="488">
        <f t="shared" ca="1" si="46"/>
        <v>0</v>
      </c>
    </row>
    <row r="139" spans="3:16" hidden="1" outlineLevel="1" x14ac:dyDescent="0.3">
      <c r="C139" s="396" t="s">
        <v>918</v>
      </c>
      <c r="E139" s="482">
        <f ca="1">E76*'B. Implementation Plan'!P372*2080*(1+E19)^E125</f>
        <v>0</v>
      </c>
      <c r="F139" s="482">
        <f ca="1">F76*'B. Implementation Plan'!P372*2080*(1+E19)^F125</f>
        <v>0</v>
      </c>
      <c r="G139" s="482">
        <f ca="1">G76*'B. Implementation Plan'!P372*2080*(1+E19)^G125</f>
        <v>0</v>
      </c>
      <c r="H139" s="482">
        <f ca="1">H76*'B. Implementation Plan'!P372*2080*(1+E19)^H125</f>
        <v>0</v>
      </c>
      <c r="I139" s="482">
        <f ca="1">I76*'B. Implementation Plan'!P372*2080*(1+E19)^I125</f>
        <v>0</v>
      </c>
      <c r="J139" s="482">
        <f ca="1">J76*'B. Implementation Plan'!P372*2080*(1+E19)^J125</f>
        <v>0</v>
      </c>
      <c r="K139" s="482">
        <f ca="1">K76*'B. Implementation Plan'!P372*2080*(1+E19)^K125</f>
        <v>0</v>
      </c>
      <c r="L139" s="482">
        <f ca="1">L76*'B. Implementation Plan'!P372*2080*(1+E19)^L125</f>
        <v>0</v>
      </c>
      <c r="M139" s="482">
        <f ca="1">M76*'B. Implementation Plan'!P372*2080*(1+E19)^M125</f>
        <v>0</v>
      </c>
      <c r="N139" s="482">
        <f ca="1">N76*'B. Implementation Plan'!P372*2080*(1+E19)^N125</f>
        <v>0</v>
      </c>
      <c r="O139" s="482">
        <f ca="1">O76*'B. Implementation Plan'!P372*2080*(1+E19)^O125</f>
        <v>0</v>
      </c>
      <c r="P139" s="488">
        <f t="shared" ca="1" si="46"/>
        <v>0</v>
      </c>
    </row>
    <row r="140" spans="3:16" hidden="1" outlineLevel="1" x14ac:dyDescent="0.3">
      <c r="C140" s="396" t="s">
        <v>919</v>
      </c>
      <c r="E140" s="482">
        <f ca="1">E77*'B. Implementation Plan'!P372*2080*(1+E19)^E125</f>
        <v>0</v>
      </c>
      <c r="F140" s="482">
        <f ca="1">F77*'B. Implementation Plan'!P372*2080*(1+E19)^F125</f>
        <v>0</v>
      </c>
      <c r="G140" s="482">
        <f ca="1">G77*'B. Implementation Plan'!P372*2080*(1+E19)^G125</f>
        <v>0</v>
      </c>
      <c r="H140" s="482">
        <f ca="1">H77*'B. Implementation Plan'!P372*2080*(1+E19)^H125</f>
        <v>0</v>
      </c>
      <c r="I140" s="482">
        <f ca="1">I77*'B. Implementation Plan'!P372*2080*(1+E19)^I125</f>
        <v>0</v>
      </c>
      <c r="J140" s="482">
        <f ca="1">J77*'B. Implementation Plan'!P372*2080*(1+E19)^J125</f>
        <v>0</v>
      </c>
      <c r="K140" s="482">
        <f ca="1">K77*'B. Implementation Plan'!P372*2080*(1+E19)^K125</f>
        <v>0</v>
      </c>
      <c r="L140" s="482">
        <f ca="1">L77*'B. Implementation Plan'!P372*2080*(1+E19)^L125</f>
        <v>0</v>
      </c>
      <c r="M140" s="482">
        <f ca="1">M77*'B. Implementation Plan'!P372*2080*(1+E19)^M125</f>
        <v>0</v>
      </c>
      <c r="N140" s="482">
        <f ca="1">N77*'B. Implementation Plan'!P372*2080*(1+E19)^N125</f>
        <v>0</v>
      </c>
      <c r="O140" s="482">
        <f ca="1">O77*'B. Implementation Plan'!P372*2080*(1+E19)^O125</f>
        <v>0</v>
      </c>
      <c r="P140" s="488">
        <f t="shared" ca="1" si="46"/>
        <v>0</v>
      </c>
    </row>
    <row r="141" spans="3:16" hidden="1" outlineLevel="1" x14ac:dyDescent="0.3">
      <c r="C141" s="478" t="s">
        <v>920</v>
      </c>
      <c r="E141" s="482">
        <f ca="1">(E70-E75)*'B. Implementation Plan'!P371*2080*(1+E19)^E125</f>
        <v>0</v>
      </c>
      <c r="F141" s="482">
        <f ca="1">(F70-F75)*'B. Implementation Plan'!P371*2080*(1+E19)^F125</f>
        <v>0</v>
      </c>
      <c r="G141" s="482">
        <f ca="1">(G70-G75)*'B. Implementation Plan'!P371*2080*(1+E19)^G125</f>
        <v>0</v>
      </c>
      <c r="H141" s="482">
        <f ca="1">(H70-H75)*'B. Implementation Plan'!P371*2080*(1+E19)^H125</f>
        <v>0</v>
      </c>
      <c r="I141" s="482">
        <f ca="1">(I70-I75)*'B. Implementation Plan'!P371*2080*(1+E19)^I125</f>
        <v>0</v>
      </c>
      <c r="J141" s="482">
        <f ca="1">(J70-J75)*'B. Implementation Plan'!P371*2080*(1+E19)^J125</f>
        <v>0</v>
      </c>
      <c r="K141" s="482">
        <f ca="1">(K70-K75)*'B. Implementation Plan'!P371*2080*(1+E19)^K125</f>
        <v>0</v>
      </c>
      <c r="L141" s="482">
        <f ca="1">(L70-L75)*'B. Implementation Plan'!P371*2080*(1+E19)^L125</f>
        <v>0</v>
      </c>
      <c r="M141" s="482">
        <f ca="1">(M70-M75)*'B. Implementation Plan'!P371*2080*(1+E19)^M125</f>
        <v>0</v>
      </c>
      <c r="N141" s="482">
        <f ca="1">(N70-N75)*'B. Implementation Plan'!P371*2080*(1+E19)^N125</f>
        <v>0</v>
      </c>
      <c r="O141" s="482">
        <f ca="1">(O70-O75)*'B. Implementation Plan'!P371*2080*(1+E19)^O125</f>
        <v>0</v>
      </c>
      <c r="P141" s="488">
        <f t="shared" ca="1" si="46"/>
        <v>0</v>
      </c>
    </row>
    <row r="142" spans="3:16" hidden="1" outlineLevel="1" x14ac:dyDescent="0.3">
      <c r="C142" s="478" t="s">
        <v>921</v>
      </c>
      <c r="E142" s="482">
        <f ca="1">(E71-E76)*'B. Implementation Plan'!P371*2080*(1+E19)^E125</f>
        <v>0</v>
      </c>
      <c r="F142" s="482">
        <f ca="1">(F71-F76)*'B. Implementation Plan'!P371*2080*(1+E19)^F125</f>
        <v>0</v>
      </c>
      <c r="G142" s="482">
        <f ca="1">(G71-G76)*'B. Implementation Plan'!P371*2080*(1+E19)^G125</f>
        <v>0</v>
      </c>
      <c r="H142" s="482">
        <f ca="1">(H71-H76)*'B. Implementation Plan'!P371*2080*(1+E19)^H125</f>
        <v>0</v>
      </c>
      <c r="I142" s="482">
        <f ca="1">(I71-I76)*'B. Implementation Plan'!P371*2080*(1+E19)^I125</f>
        <v>0</v>
      </c>
      <c r="J142" s="482">
        <f ca="1">(J71-J76)*'B. Implementation Plan'!P371*2080*(1+E19)^J125</f>
        <v>0</v>
      </c>
      <c r="K142" s="482">
        <f ca="1">(K71-K76)*'B. Implementation Plan'!P371*2080*(1+E19)^K125</f>
        <v>0</v>
      </c>
      <c r="L142" s="482">
        <f ca="1">(L71-L76)*'B. Implementation Plan'!P371*2080*(1+E19)^L125</f>
        <v>0</v>
      </c>
      <c r="M142" s="482">
        <f ca="1">(M71-M76)*'B. Implementation Plan'!P371*2080*(1+E19)^M125</f>
        <v>0</v>
      </c>
      <c r="N142" s="482">
        <f ca="1">(N71-N76)*'B. Implementation Plan'!P371*2080*(1+E19)^N125</f>
        <v>0</v>
      </c>
      <c r="O142" s="482">
        <f ca="1">(O71-O76)*'B. Implementation Plan'!P371*2080*(1+E19)^O125</f>
        <v>0</v>
      </c>
      <c r="P142" s="488">
        <f t="shared" ca="1" si="46"/>
        <v>0</v>
      </c>
    </row>
    <row r="143" spans="3:16" hidden="1" outlineLevel="1" x14ac:dyDescent="0.3">
      <c r="C143" s="478" t="s">
        <v>922</v>
      </c>
      <c r="E143" s="482">
        <f ca="1">(E72-E77)*'B. Implementation Plan'!P371*2080*(1+E19)^E125</f>
        <v>0</v>
      </c>
      <c r="F143" s="482">
        <f ca="1">(F72-F77)*'B. Implementation Plan'!P371*2080*(1+E19)^F125</f>
        <v>0</v>
      </c>
      <c r="G143" s="482">
        <f ca="1">(G72-G77)*'B. Implementation Plan'!P371*2080*(1+E19)^G125</f>
        <v>0</v>
      </c>
      <c r="H143" s="482">
        <f ca="1">(H72-H77)*'B. Implementation Plan'!P371*2080*(1+E19)^H125</f>
        <v>0</v>
      </c>
      <c r="I143" s="482">
        <f ca="1">(I72-I77)*'B. Implementation Plan'!P371*2080*(1+E19)^I125</f>
        <v>0</v>
      </c>
      <c r="J143" s="482">
        <f ca="1">(J72-J77)*'B. Implementation Plan'!P371*2080*(1+E19)^J125</f>
        <v>0</v>
      </c>
      <c r="K143" s="482">
        <f ca="1">(K72-K77)*'B. Implementation Plan'!P371*2080*(1+E19)^K125</f>
        <v>0</v>
      </c>
      <c r="L143" s="482">
        <f ca="1">(L72-L77)*'B. Implementation Plan'!P371*2080*(1+E19)^L125</f>
        <v>0</v>
      </c>
      <c r="M143" s="482">
        <f ca="1">(M72-M77)*'B. Implementation Plan'!P371*2080*(1+E19)^M125</f>
        <v>0</v>
      </c>
      <c r="N143" s="482">
        <f ca="1">(N72-N77)*'B. Implementation Plan'!P371*2080*(1+E19)^N125</f>
        <v>0</v>
      </c>
      <c r="O143" s="482">
        <f ca="1">(O72-O77)*'B. Implementation Plan'!P371*2080*(1+E19)^O125</f>
        <v>0</v>
      </c>
      <c r="P143" s="488">
        <f t="shared" ca="1" si="46"/>
        <v>0</v>
      </c>
    </row>
    <row r="144" spans="3:16" hidden="1" outlineLevel="1" x14ac:dyDescent="0.3">
      <c r="C144" s="396" t="s">
        <v>752</v>
      </c>
      <c r="E144" s="482">
        <f t="shared" ref="E144:O144" ca="1" si="47">IF(E25&gt;0,(E95+E96)*(E30/E33),0)</f>
        <v>0</v>
      </c>
      <c r="F144" s="482">
        <f t="shared" ca="1" si="47"/>
        <v>0</v>
      </c>
      <c r="G144" s="482">
        <f t="shared" ca="1" si="47"/>
        <v>0</v>
      </c>
      <c r="H144" s="482">
        <f t="shared" ca="1" si="47"/>
        <v>0</v>
      </c>
      <c r="I144" s="482">
        <f t="shared" ca="1" si="47"/>
        <v>0</v>
      </c>
      <c r="J144" s="482">
        <f t="shared" ca="1" si="47"/>
        <v>0</v>
      </c>
      <c r="K144" s="482">
        <f t="shared" ca="1" si="47"/>
        <v>0</v>
      </c>
      <c r="L144" s="482">
        <f t="shared" ca="1" si="47"/>
        <v>0</v>
      </c>
      <c r="M144" s="482">
        <f t="shared" ca="1" si="47"/>
        <v>0</v>
      </c>
      <c r="N144" s="482">
        <f t="shared" ca="1" si="47"/>
        <v>0</v>
      </c>
      <c r="O144" s="482">
        <f t="shared" ca="1" si="47"/>
        <v>0</v>
      </c>
      <c r="P144" s="488">
        <f t="shared" ca="1" si="46"/>
        <v>0</v>
      </c>
    </row>
    <row r="145" spans="1:16" hidden="1" outlineLevel="1" x14ac:dyDescent="0.3">
      <c r="C145" s="396" t="s">
        <v>753</v>
      </c>
      <c r="E145" s="482">
        <f t="shared" ref="E145:O145" ca="1" si="48">IF(E25&gt;0,(E95+E96)*(E31/E33),0)</f>
        <v>0</v>
      </c>
      <c r="F145" s="482">
        <f t="shared" ca="1" si="48"/>
        <v>0</v>
      </c>
      <c r="G145" s="482">
        <f t="shared" ca="1" si="48"/>
        <v>0</v>
      </c>
      <c r="H145" s="482">
        <f t="shared" ca="1" si="48"/>
        <v>0</v>
      </c>
      <c r="I145" s="482">
        <f t="shared" ca="1" si="48"/>
        <v>0</v>
      </c>
      <c r="J145" s="482">
        <f t="shared" ca="1" si="48"/>
        <v>0</v>
      </c>
      <c r="K145" s="482">
        <f t="shared" ca="1" si="48"/>
        <v>0</v>
      </c>
      <c r="L145" s="482">
        <f t="shared" ca="1" si="48"/>
        <v>0</v>
      </c>
      <c r="M145" s="482">
        <f t="shared" ca="1" si="48"/>
        <v>0</v>
      </c>
      <c r="N145" s="482">
        <f t="shared" ca="1" si="48"/>
        <v>0</v>
      </c>
      <c r="O145" s="482">
        <f t="shared" ca="1" si="48"/>
        <v>0</v>
      </c>
      <c r="P145" s="488">
        <f t="shared" ca="1" si="46"/>
        <v>0</v>
      </c>
    </row>
    <row r="146" spans="1:16" hidden="1" outlineLevel="1" x14ac:dyDescent="0.3">
      <c r="C146" s="396" t="s">
        <v>754</v>
      </c>
      <c r="E146" s="482">
        <f t="shared" ref="E146:O146" ca="1" si="49">IF(E25&gt;0,(E95+E96)*(E32/E33),0)</f>
        <v>0</v>
      </c>
      <c r="F146" s="482">
        <f t="shared" ca="1" si="49"/>
        <v>0</v>
      </c>
      <c r="G146" s="482">
        <f t="shared" ca="1" si="49"/>
        <v>0</v>
      </c>
      <c r="H146" s="482">
        <f t="shared" ca="1" si="49"/>
        <v>0</v>
      </c>
      <c r="I146" s="482">
        <f t="shared" ca="1" si="49"/>
        <v>0</v>
      </c>
      <c r="J146" s="482">
        <f t="shared" ca="1" si="49"/>
        <v>0</v>
      </c>
      <c r="K146" s="482">
        <f t="shared" ca="1" si="49"/>
        <v>0</v>
      </c>
      <c r="L146" s="482">
        <f t="shared" ca="1" si="49"/>
        <v>0</v>
      </c>
      <c r="M146" s="482">
        <f t="shared" ca="1" si="49"/>
        <v>0</v>
      </c>
      <c r="N146" s="482">
        <f t="shared" ca="1" si="49"/>
        <v>0</v>
      </c>
      <c r="O146" s="482">
        <f t="shared" ca="1" si="49"/>
        <v>0</v>
      </c>
      <c r="P146" s="488">
        <f t="shared" ca="1" si="46"/>
        <v>0</v>
      </c>
    </row>
    <row r="147" spans="1:16" hidden="1" outlineLevel="1" x14ac:dyDescent="0.3">
      <c r="C147" s="396" t="s">
        <v>759</v>
      </c>
      <c r="E147" s="482">
        <f t="shared" ref="E147:O147" ca="1" si="50">IFERROR(E99*(E42+E70)/(E45+E73),0)</f>
        <v>0</v>
      </c>
      <c r="F147" s="482">
        <f t="shared" ca="1" si="50"/>
        <v>0</v>
      </c>
      <c r="G147" s="482">
        <f t="shared" ca="1" si="50"/>
        <v>0</v>
      </c>
      <c r="H147" s="482">
        <f t="shared" ca="1" si="50"/>
        <v>0</v>
      </c>
      <c r="I147" s="482">
        <f t="shared" ca="1" si="50"/>
        <v>0</v>
      </c>
      <c r="J147" s="482">
        <f t="shared" ca="1" si="50"/>
        <v>0</v>
      </c>
      <c r="K147" s="482">
        <f t="shared" ca="1" si="50"/>
        <v>0</v>
      </c>
      <c r="L147" s="482">
        <f t="shared" ca="1" si="50"/>
        <v>0</v>
      </c>
      <c r="M147" s="482">
        <f t="shared" ca="1" si="50"/>
        <v>0</v>
      </c>
      <c r="N147" s="482">
        <f t="shared" ca="1" si="50"/>
        <v>0</v>
      </c>
      <c r="O147" s="482">
        <f t="shared" ca="1" si="50"/>
        <v>0</v>
      </c>
      <c r="P147" s="488">
        <f t="shared" ca="1" si="46"/>
        <v>0</v>
      </c>
    </row>
    <row r="148" spans="1:16" hidden="1" outlineLevel="1" x14ac:dyDescent="0.3">
      <c r="C148" s="396" t="s">
        <v>760</v>
      </c>
      <c r="E148" s="482">
        <f t="shared" ref="E148:O148" ca="1" si="51">IFERROR(E99*(E43+E71)/(E45+E73),0)</f>
        <v>0</v>
      </c>
      <c r="F148" s="482">
        <f t="shared" ca="1" si="51"/>
        <v>0</v>
      </c>
      <c r="G148" s="482">
        <f t="shared" ca="1" si="51"/>
        <v>0</v>
      </c>
      <c r="H148" s="482">
        <f t="shared" ca="1" si="51"/>
        <v>0</v>
      </c>
      <c r="I148" s="482">
        <f t="shared" ca="1" si="51"/>
        <v>0</v>
      </c>
      <c r="J148" s="482">
        <f t="shared" ca="1" si="51"/>
        <v>0</v>
      </c>
      <c r="K148" s="482">
        <f t="shared" ca="1" si="51"/>
        <v>0</v>
      </c>
      <c r="L148" s="482">
        <f t="shared" ca="1" si="51"/>
        <v>0</v>
      </c>
      <c r="M148" s="482">
        <f t="shared" ca="1" si="51"/>
        <v>0</v>
      </c>
      <c r="N148" s="482">
        <f t="shared" ca="1" si="51"/>
        <v>0</v>
      </c>
      <c r="O148" s="482">
        <f t="shared" ca="1" si="51"/>
        <v>0</v>
      </c>
      <c r="P148" s="488">
        <f t="shared" ca="1" si="46"/>
        <v>0</v>
      </c>
    </row>
    <row r="149" spans="1:16" hidden="1" outlineLevel="1" x14ac:dyDescent="0.3">
      <c r="C149" s="396" t="s">
        <v>761</v>
      </c>
      <c r="E149" s="482">
        <f t="shared" ref="E149:O149" ca="1" si="52">IFERROR(E99*(E44+E72)/(E45+E73),0)</f>
        <v>0</v>
      </c>
      <c r="F149" s="482">
        <f t="shared" ca="1" si="52"/>
        <v>0</v>
      </c>
      <c r="G149" s="482">
        <f t="shared" ca="1" si="52"/>
        <v>0</v>
      </c>
      <c r="H149" s="482">
        <f t="shared" ca="1" si="52"/>
        <v>0</v>
      </c>
      <c r="I149" s="482">
        <f t="shared" ca="1" si="52"/>
        <v>0</v>
      </c>
      <c r="J149" s="482">
        <f t="shared" ca="1" si="52"/>
        <v>0</v>
      </c>
      <c r="K149" s="482">
        <f t="shared" ca="1" si="52"/>
        <v>0</v>
      </c>
      <c r="L149" s="482">
        <f t="shared" ca="1" si="52"/>
        <v>0</v>
      </c>
      <c r="M149" s="482">
        <f t="shared" ca="1" si="52"/>
        <v>0</v>
      </c>
      <c r="N149" s="482">
        <f t="shared" ca="1" si="52"/>
        <v>0</v>
      </c>
      <c r="O149" s="482">
        <f t="shared" ca="1" si="52"/>
        <v>0</v>
      </c>
      <c r="P149" s="488">
        <f t="shared" ca="1" si="46"/>
        <v>0</v>
      </c>
    </row>
    <row r="150" spans="1:16" s="1" customFormat="1" hidden="1" outlineLevel="1" x14ac:dyDescent="0.3">
      <c r="A150"/>
      <c r="B150"/>
      <c r="C150" s="409" t="s">
        <v>758</v>
      </c>
      <c r="E150" s="486">
        <f ca="1">E126+E129+E132+E135+E138+E141+E144+E147</f>
        <v>0</v>
      </c>
      <c r="F150" s="486">
        <f t="shared" ref="F150:O150" ca="1" si="53">F126+F129+F132+F135+F138+F141+F144+F147</f>
        <v>0</v>
      </c>
      <c r="G150" s="486">
        <f t="shared" ca="1" si="53"/>
        <v>0</v>
      </c>
      <c r="H150" s="486">
        <f t="shared" ca="1" si="53"/>
        <v>0</v>
      </c>
      <c r="I150" s="486">
        <f t="shared" ca="1" si="53"/>
        <v>0</v>
      </c>
      <c r="J150" s="486">
        <f t="shared" ca="1" si="53"/>
        <v>0</v>
      </c>
      <c r="K150" s="486">
        <f t="shared" ca="1" si="53"/>
        <v>0</v>
      </c>
      <c r="L150" s="486">
        <f t="shared" ca="1" si="53"/>
        <v>0</v>
      </c>
      <c r="M150" s="486">
        <f t="shared" ca="1" si="53"/>
        <v>0</v>
      </c>
      <c r="N150" s="486">
        <f t="shared" ca="1" si="53"/>
        <v>0</v>
      </c>
      <c r="O150" s="486">
        <f t="shared" ca="1" si="53"/>
        <v>0</v>
      </c>
      <c r="P150" s="489">
        <f t="shared" ca="1" si="46"/>
        <v>0</v>
      </c>
    </row>
    <row r="151" spans="1:16" s="1" customFormat="1" hidden="1" outlineLevel="1" x14ac:dyDescent="0.3">
      <c r="A151"/>
      <c r="B151"/>
      <c r="C151" s="409" t="s">
        <v>756</v>
      </c>
      <c r="E151" s="486">
        <f ca="1">E127+E130+E133+E136+E139+E142+E145+E148</f>
        <v>0</v>
      </c>
      <c r="F151" s="486">
        <f t="shared" ref="F151:O151" ca="1" si="54">F127+F130+F133+F136+F139+F142+F145+F148</f>
        <v>0</v>
      </c>
      <c r="G151" s="486">
        <f t="shared" ca="1" si="54"/>
        <v>0</v>
      </c>
      <c r="H151" s="486">
        <f t="shared" ca="1" si="54"/>
        <v>0</v>
      </c>
      <c r="I151" s="486">
        <f t="shared" ca="1" si="54"/>
        <v>0</v>
      </c>
      <c r="J151" s="486">
        <f t="shared" ca="1" si="54"/>
        <v>0</v>
      </c>
      <c r="K151" s="486">
        <f t="shared" ca="1" si="54"/>
        <v>0</v>
      </c>
      <c r="L151" s="486">
        <f t="shared" ca="1" si="54"/>
        <v>0</v>
      </c>
      <c r="M151" s="486">
        <f t="shared" ca="1" si="54"/>
        <v>0</v>
      </c>
      <c r="N151" s="486">
        <f t="shared" ca="1" si="54"/>
        <v>0</v>
      </c>
      <c r="O151" s="486">
        <f t="shared" ca="1" si="54"/>
        <v>0</v>
      </c>
      <c r="P151" s="489">
        <f t="shared" ca="1" si="46"/>
        <v>0</v>
      </c>
    </row>
    <row r="152" spans="1:16" s="1" customFormat="1" hidden="1" outlineLevel="1" x14ac:dyDescent="0.3">
      <c r="A152"/>
      <c r="B152"/>
      <c r="C152" s="409" t="s">
        <v>757</v>
      </c>
      <c r="E152" s="486">
        <f ca="1">E128+E131+E134+E137+E140+E143+E146+E149</f>
        <v>0</v>
      </c>
      <c r="F152" s="486">
        <f t="shared" ref="F152:O152" ca="1" si="55">F128+F131+F134+F137+F140+F143+F146+F149</f>
        <v>0</v>
      </c>
      <c r="G152" s="486">
        <f t="shared" ca="1" si="55"/>
        <v>0</v>
      </c>
      <c r="H152" s="486">
        <f t="shared" ca="1" si="55"/>
        <v>0</v>
      </c>
      <c r="I152" s="486">
        <f t="shared" ca="1" si="55"/>
        <v>0</v>
      </c>
      <c r="J152" s="486">
        <f t="shared" ca="1" si="55"/>
        <v>0</v>
      </c>
      <c r="K152" s="486">
        <f t="shared" ca="1" si="55"/>
        <v>0</v>
      </c>
      <c r="L152" s="486">
        <f t="shared" ca="1" si="55"/>
        <v>0</v>
      </c>
      <c r="M152" s="486">
        <f t="shared" ca="1" si="55"/>
        <v>0</v>
      </c>
      <c r="N152" s="486">
        <f t="shared" ca="1" si="55"/>
        <v>0</v>
      </c>
      <c r="O152" s="486">
        <f t="shared" ca="1" si="55"/>
        <v>0</v>
      </c>
      <c r="P152" s="489">
        <f t="shared" ca="1" si="46"/>
        <v>0</v>
      </c>
    </row>
    <row r="153" spans="1:16" hidden="1" outlineLevel="1" x14ac:dyDescent="0.3">
      <c r="C153" s="433" t="s">
        <v>765</v>
      </c>
      <c r="E153" s="482">
        <f ca="1">E150*'B. Implementation Plan'!P415</f>
        <v>0</v>
      </c>
      <c r="F153" s="482">
        <f ca="1">F150*'B. Implementation Plan'!P415</f>
        <v>0</v>
      </c>
      <c r="G153" s="482">
        <f ca="1">G150*'B. Implementation Plan'!P415</f>
        <v>0</v>
      </c>
      <c r="H153" s="482">
        <f ca="1">H150*'B. Implementation Plan'!P415</f>
        <v>0</v>
      </c>
      <c r="I153" s="482">
        <f ca="1">I150*'B. Implementation Plan'!P415</f>
        <v>0</v>
      </c>
      <c r="J153" s="482">
        <f ca="1">J150*'B. Implementation Plan'!P415</f>
        <v>0</v>
      </c>
      <c r="K153" s="482">
        <f ca="1">K150*'B. Implementation Plan'!P415</f>
        <v>0</v>
      </c>
      <c r="L153" s="482">
        <f ca="1">L150*'B. Implementation Plan'!P415</f>
        <v>0</v>
      </c>
      <c r="M153" s="482">
        <f ca="1">M150*'B. Implementation Plan'!P415</f>
        <v>0</v>
      </c>
      <c r="N153" s="482">
        <f ca="1">N150*'B. Implementation Plan'!P415</f>
        <v>0</v>
      </c>
      <c r="O153" s="482">
        <f ca="1">O150*'B. Implementation Plan'!P415</f>
        <v>0</v>
      </c>
      <c r="P153" s="488">
        <f t="shared" ca="1" si="46"/>
        <v>0</v>
      </c>
    </row>
    <row r="154" spans="1:16" hidden="1" outlineLevel="1" x14ac:dyDescent="0.3">
      <c r="C154" s="433" t="s">
        <v>766</v>
      </c>
      <c r="E154" s="482">
        <f ca="1">E151*'B. Implementation Plan'!P415</f>
        <v>0</v>
      </c>
      <c r="F154" s="482">
        <f ca="1">F151*'B. Implementation Plan'!P415</f>
        <v>0</v>
      </c>
      <c r="G154" s="482">
        <f ca="1">G151*'B. Implementation Plan'!P415</f>
        <v>0</v>
      </c>
      <c r="H154" s="482">
        <f ca="1">H151*'B. Implementation Plan'!P415</f>
        <v>0</v>
      </c>
      <c r="I154" s="482">
        <f ca="1">I151*'B. Implementation Plan'!P415</f>
        <v>0</v>
      </c>
      <c r="J154" s="482">
        <f ca="1">J151*'B. Implementation Plan'!P415</f>
        <v>0</v>
      </c>
      <c r="K154" s="482">
        <f ca="1">K151*'B. Implementation Plan'!P415</f>
        <v>0</v>
      </c>
      <c r="L154" s="482">
        <f ca="1">L151*'B. Implementation Plan'!P415</f>
        <v>0</v>
      </c>
      <c r="M154" s="482">
        <f ca="1">M151*'B. Implementation Plan'!P415</f>
        <v>0</v>
      </c>
      <c r="N154" s="482">
        <f ca="1">N151*'B. Implementation Plan'!P415</f>
        <v>0</v>
      </c>
      <c r="O154" s="482">
        <f ca="1">O151*'B. Implementation Plan'!P415</f>
        <v>0</v>
      </c>
      <c r="P154" s="488">
        <f t="shared" ca="1" si="46"/>
        <v>0</v>
      </c>
    </row>
    <row r="155" spans="1:16" hidden="1" outlineLevel="1" x14ac:dyDescent="0.3">
      <c r="C155" s="433" t="s">
        <v>767</v>
      </c>
      <c r="E155" s="482">
        <f ca="1">E152*'B. Implementation Plan'!P415</f>
        <v>0</v>
      </c>
      <c r="F155" s="482">
        <f ca="1">F152*'B. Implementation Plan'!P415</f>
        <v>0</v>
      </c>
      <c r="G155" s="482">
        <f ca="1">G152*'B. Implementation Plan'!P415</f>
        <v>0</v>
      </c>
      <c r="H155" s="482">
        <f ca="1">H152*'B. Implementation Plan'!P415</f>
        <v>0</v>
      </c>
      <c r="I155" s="482">
        <f ca="1">I152*'B. Implementation Plan'!P415</f>
        <v>0</v>
      </c>
      <c r="J155" s="482">
        <f ca="1">J152*'B. Implementation Plan'!P415</f>
        <v>0</v>
      </c>
      <c r="K155" s="482">
        <f ca="1">K152*'B. Implementation Plan'!P415</f>
        <v>0</v>
      </c>
      <c r="L155" s="482">
        <f ca="1">L152*'B. Implementation Plan'!P415</f>
        <v>0</v>
      </c>
      <c r="M155" s="482">
        <f ca="1">M152*'B. Implementation Plan'!P415</f>
        <v>0</v>
      </c>
      <c r="N155" s="482">
        <f ca="1">N152*'B. Implementation Plan'!P415</f>
        <v>0</v>
      </c>
      <c r="O155" s="482">
        <f ca="1">O152*'B. Implementation Plan'!P415</f>
        <v>0</v>
      </c>
      <c r="P155" s="488">
        <f t="shared" ca="1" si="46"/>
        <v>0</v>
      </c>
    </row>
    <row r="156" spans="1:16" hidden="1" outlineLevel="1" x14ac:dyDescent="0.3">
      <c r="C156" s="433" t="s">
        <v>762</v>
      </c>
      <c r="E156" s="482">
        <f ca="1">IF(OR('B. Implementation Plan'!M417="Y",'B. Implementation Plan'!M417="Yes"),'B. Implementation Plan'!N417*SUM(E126,E129,E132,E135,E138,E141,E144),(E42+E70+SUM(E79:E80)*(E30/E33))*'B. Implementation Plan'!E417)</f>
        <v>0</v>
      </c>
      <c r="F156" s="482">
        <f ca="1">IF(OR('B. Implementation Plan'!M417="Y",'B. Implementation Plan'!M417="Yes"),'B. Implementation Plan'!N417*SUM(F126,F129,F132,F135,F138,F141,F144),(F42+F70+SUM(F79:F80)*(F30/F33))*'B. Implementation Plan'!E417)</f>
        <v>0</v>
      </c>
      <c r="G156" s="482">
        <f ca="1">IF(OR('B. Implementation Plan'!M417="Y",'B. Implementation Plan'!M417="Yes"),'B. Implementation Plan'!N417*SUM(G126,G129,G132,G135,G138,G141,G144),(G42+G70+SUM(G79:G80)*(G30/G33))*'B. Implementation Plan'!E417)</f>
        <v>0</v>
      </c>
      <c r="H156" s="482">
        <f ca="1">IF(OR('B. Implementation Plan'!M417="Y",'B. Implementation Plan'!M417="Yes"),'B. Implementation Plan'!N417*SUM(H126,H129,H132,H135,H138,H141,H144),(H42+H70+SUM(H79:H80)*(H30/H33))*'B. Implementation Plan'!E417)</f>
        <v>0</v>
      </c>
      <c r="I156" s="482">
        <f ca="1">IF(OR('B. Implementation Plan'!M417="Y",'B. Implementation Plan'!M417="Yes"),'B. Implementation Plan'!N417*SUM(I126,I129,I132,I135,I138,I141,I144),(I42+I70+SUM(I79:I80)*(I30/I33))*'B. Implementation Plan'!E417)</f>
        <v>0</v>
      </c>
      <c r="J156" s="482">
        <f ca="1">IF(OR('B. Implementation Plan'!M417="Y",'B. Implementation Plan'!M417="Yes"),'B. Implementation Plan'!N417*SUM(J126,J129,J132,J135,J138,J141,J144),(J42+J70+SUM(J79:J80)*(J30/J33))*'B. Implementation Plan'!E417)</f>
        <v>0</v>
      </c>
      <c r="K156" s="482">
        <f ca="1">IF(OR('B. Implementation Plan'!M417="Y",'B. Implementation Plan'!M417="Yes"),'B. Implementation Plan'!N417*SUM(K126,K129,K132,K135,K138,K141,K144),(K42+K70+SUM(K79:K80)*(K30/K33))*'B. Implementation Plan'!E417)</f>
        <v>0</v>
      </c>
      <c r="L156" s="482">
        <f ca="1">IF(OR('B. Implementation Plan'!M417="Y",'B. Implementation Plan'!M417="Yes"),'B. Implementation Plan'!N417*SUM(L126,L129,L132,L135,L138,L141,L144),(L42+L70+SUM(L79:L80)*(L30/L33))*'B. Implementation Plan'!E417)</f>
        <v>0</v>
      </c>
      <c r="M156" s="482">
        <f ca="1">IF(OR('B. Implementation Plan'!M417="Y",'B. Implementation Plan'!M417="Yes"),'B. Implementation Plan'!N417*SUM(M126,M129,M132,M135,M138,M141,M144),(M42+M70+SUM(M79:M80)*(M30/M33))*'B. Implementation Plan'!E417)</f>
        <v>0</v>
      </c>
      <c r="N156" s="482">
        <f ca="1">IF(OR('B. Implementation Plan'!M417="Y",'B. Implementation Plan'!M417="Yes"),'B. Implementation Plan'!N417*SUM(N126,N129,N132,N135,N138,N141,N144),(N42+N70+SUM(N79:N80)*(N30/N33))*'B. Implementation Plan'!E417)</f>
        <v>0</v>
      </c>
      <c r="O156" s="482">
        <f ca="1">IF(OR('B. Implementation Plan'!M417="Y",'B. Implementation Plan'!M417="Yes"),'B. Implementation Plan'!N417*SUM(O126,O129,O132,O135,O138,O141,O144),(O42+O70+SUM(O79:O80)*(O30/O33))*'B. Implementation Plan'!E417)</f>
        <v>0</v>
      </c>
      <c r="P156" s="488">
        <f t="shared" ca="1" si="46"/>
        <v>0</v>
      </c>
    </row>
    <row r="157" spans="1:16" hidden="1" outlineLevel="1" x14ac:dyDescent="0.3">
      <c r="C157" s="433" t="s">
        <v>763</v>
      </c>
      <c r="E157" s="482">
        <f ca="1">IF(OR('B. Implementation Plan'!M417="Y",'B. Implementation Plan'!M417="Yes"),'B. Implementation Plan'!N417*SUM(E127,E130,E133,E136,E139,E142,E145),(E43+E71+SUM(E79:E80)*(E31/E33))*'B. Implementation Plan'!E417)</f>
        <v>0</v>
      </c>
      <c r="F157" s="482">
        <f ca="1">IF(OR('B. Implementation Plan'!M417="Y",'B. Implementation Plan'!M417="Yes"),'B. Implementation Plan'!N417*SUM(F127,F130,F133,F136,F139,F142,F145),(F43+F71+SUM(F79:F80)*(F31/F33))*'B. Implementation Plan'!E417)</f>
        <v>0</v>
      </c>
      <c r="G157" s="482">
        <f ca="1">IF(OR('B. Implementation Plan'!M417="Y",'B. Implementation Plan'!M417="Yes"),'B. Implementation Plan'!N417*SUM(G127,G130,G133,G136,G139,G142,G145),(G43+G71+SUM(G79:G80)*(G31/G33))*'B. Implementation Plan'!E417)</f>
        <v>0</v>
      </c>
      <c r="H157" s="482">
        <f ca="1">IF(OR('B. Implementation Plan'!M417="Y",'B. Implementation Plan'!M417="Yes"),'B. Implementation Plan'!N417*SUM(H127,H130,H133,H136,H139,H142,H145),(H43+H71+SUM(H79:H80)*(H31/H33))*'B. Implementation Plan'!E417)</f>
        <v>0</v>
      </c>
      <c r="I157" s="482">
        <f ca="1">IF(OR('B. Implementation Plan'!M417="Y",'B. Implementation Plan'!M417="Yes"),'B. Implementation Plan'!N417*SUM(I127,I130,I133,I136,I139,I142,I145),(I43+I71+SUM(I79:I80)*(I31/I33))*'B. Implementation Plan'!E417)</f>
        <v>0</v>
      </c>
      <c r="J157" s="482">
        <f ca="1">IF(OR('B. Implementation Plan'!M417="Y",'B. Implementation Plan'!M417="Yes"),'B. Implementation Plan'!N417*SUM(J127,J130,J133,J136,J139,J142,J145),(J43+J71+SUM(J79:J80)*(J31/J33))*'B. Implementation Plan'!E417)</f>
        <v>0</v>
      </c>
      <c r="K157" s="482">
        <f ca="1">IF(OR('B. Implementation Plan'!M417="Y",'B. Implementation Plan'!M417="Yes"),'B. Implementation Plan'!N417*SUM(K127,K130,K133,K136,K139,K142,K145),(K43+K71+SUM(K79:K80)*(K31/K33))*'B. Implementation Plan'!E417)</f>
        <v>0</v>
      </c>
      <c r="L157" s="482">
        <f ca="1">IF(OR('B. Implementation Plan'!M417="Y",'B. Implementation Plan'!M417="Yes"),'B. Implementation Plan'!N417*SUM(L127,L130,L133,L136,L139,L142,L145),(L43+L71+SUM(L79:L80)*(L31/L33))*'B. Implementation Plan'!E417)</f>
        <v>0</v>
      </c>
      <c r="M157" s="482">
        <f ca="1">IF(OR('B. Implementation Plan'!M417="Y",'B. Implementation Plan'!M417="Yes"),'B. Implementation Plan'!N417*SUM(M127,M130,M133,M136,M139,M142,M145),(M43+M71+SUM(M79:M80)*(M31/M33))*'B. Implementation Plan'!E417)</f>
        <v>0</v>
      </c>
      <c r="N157" s="482">
        <f ca="1">IF(OR('B. Implementation Plan'!M417="Y",'B. Implementation Plan'!M417="Yes"),'B. Implementation Plan'!N417*SUM(N127,N130,N133,N136,N139,N142,N145),(N43+N71+SUM(N79:N80)*(N31/N33))*'B. Implementation Plan'!E417)</f>
        <v>0</v>
      </c>
      <c r="O157" s="482">
        <f ca="1">IF(OR('B. Implementation Plan'!M417="Y",'B. Implementation Plan'!M417="Yes"),'B. Implementation Plan'!N417*SUM(O127,O130,O133,O136,O139,O142,O145),(O43+O71+SUM(O79:O80)*(O31/O33))*'B. Implementation Plan'!E417)</f>
        <v>0</v>
      </c>
      <c r="P157" s="488">
        <f t="shared" ca="1" si="46"/>
        <v>0</v>
      </c>
    </row>
    <row r="158" spans="1:16" hidden="1" outlineLevel="1" x14ac:dyDescent="0.3">
      <c r="C158" s="433" t="s">
        <v>764</v>
      </c>
      <c r="E158" s="482">
        <f ca="1">IF(OR('B. Implementation Plan'!M417="Y",'B. Implementation Plan'!M417="Yes"),'B. Implementation Plan'!N417*SUM(E128,E131,E134,E137,E140,E143,E146),(E44+E72+SUM(E79:E80)*(E32/E33))*'B. Implementation Plan'!E417)</f>
        <v>0</v>
      </c>
      <c r="F158" s="482">
        <f ca="1">IF(OR('B. Implementation Plan'!M417="Y",'B. Implementation Plan'!M417="Yes"),'B. Implementation Plan'!N417*SUM(F128,F131,F134,F137,F140,F143,F146),(F44+F72+SUM(F79:F80)*(F32/F33))*'B. Implementation Plan'!E417)</f>
        <v>0</v>
      </c>
      <c r="G158" s="482">
        <f ca="1">IF(OR('B. Implementation Plan'!M417="Y",'B. Implementation Plan'!M417="Yes"),'B. Implementation Plan'!N417*SUM(G128,G131,G134,G137,G140,G143,G146),(G44+G72+SUM(G79:G80)*(G32/G33))*'B. Implementation Plan'!E417)</f>
        <v>0</v>
      </c>
      <c r="H158" s="482">
        <f ca="1">IF(OR('B. Implementation Plan'!M417="Y",'B. Implementation Plan'!M417="Yes"),'B. Implementation Plan'!N417*SUM(H128,H131,H134,H137,H140,H143,H146),(H44+H72+SUM(H79:H80)*(H32/H33))*'B. Implementation Plan'!E417)</f>
        <v>0</v>
      </c>
      <c r="I158" s="482">
        <f ca="1">IF(OR('B. Implementation Plan'!M417="Y",'B. Implementation Plan'!M417="Yes"),'B. Implementation Plan'!N417*SUM(I128,I131,I134,I137,I140,I143,I146),(I44+I72+SUM(I79:I80)*(I32/I33))*'B. Implementation Plan'!E417)</f>
        <v>0</v>
      </c>
      <c r="J158" s="482">
        <f ca="1">IF(OR('B. Implementation Plan'!M417="Y",'B. Implementation Plan'!M417="Yes"),'B. Implementation Plan'!N417*SUM(J128,J131,J134,J137,J140,J143,J146),(J44+J72+SUM(J79:J80)*(J32/J33))*'B. Implementation Plan'!E417)</f>
        <v>0</v>
      </c>
      <c r="K158" s="482">
        <f ca="1">IF(OR('B. Implementation Plan'!M417="Y",'B. Implementation Plan'!M417="Yes"),'B. Implementation Plan'!N417*SUM(K128,K131,K134,K137,K140,K143,K146),(K44+K72+SUM(K79:K80)*(K32/K33))*'B. Implementation Plan'!E417)</f>
        <v>0</v>
      </c>
      <c r="L158" s="482">
        <f ca="1">IF(OR('B. Implementation Plan'!M417="Y",'B. Implementation Plan'!M417="Yes"),'B. Implementation Plan'!N417*SUM(L128,L131,L134,L137,L140,L143,L146),(L44+L72+SUM(L79:L80)*(L32/L33))*'B. Implementation Plan'!E417)</f>
        <v>0</v>
      </c>
      <c r="M158" s="482">
        <f ca="1">IF(OR('B. Implementation Plan'!M417="Y",'B. Implementation Plan'!M417="Yes"),'B. Implementation Plan'!N417*SUM(M128,M131,M134,M137,M140,M143,M146),(M44+M72+SUM(M79:M80)*(M32/M33))*'B. Implementation Plan'!E417)</f>
        <v>0</v>
      </c>
      <c r="N158" s="482">
        <f ca="1">IF(OR('B. Implementation Plan'!M417="Y",'B. Implementation Plan'!M417="Yes"),'B. Implementation Plan'!N417*SUM(N128,N131,N134,N137,N140,N143,N146),(N44+N72+SUM(N79:N80)*(N32/N33))*'B. Implementation Plan'!E417)</f>
        <v>0</v>
      </c>
      <c r="O158" s="482">
        <f ca="1">IF(OR('B. Implementation Plan'!M417="Y",'B. Implementation Plan'!M417="Yes"),'B. Implementation Plan'!N417*SUM(O128,O131,O134,O137,O140,O143,O146),(O44+O72+SUM(O79:O80)*(O32/O33))*'B. Implementation Plan'!E417)</f>
        <v>0</v>
      </c>
      <c r="P158" s="488">
        <f t="shared" ca="1" si="46"/>
        <v>0</v>
      </c>
    </row>
    <row r="159" spans="1:16" collapsed="1" x14ac:dyDescent="0.3">
      <c r="C159" s="409" t="s">
        <v>768</v>
      </c>
      <c r="E159" s="486">
        <f ca="1">E150+E153+E156</f>
        <v>0</v>
      </c>
      <c r="F159" s="486">
        <f t="shared" ref="F159:O159" ca="1" si="56">F150+F153+F156</f>
        <v>0</v>
      </c>
      <c r="G159" s="486">
        <f t="shared" ca="1" si="56"/>
        <v>0</v>
      </c>
      <c r="H159" s="486">
        <f t="shared" ca="1" si="56"/>
        <v>0</v>
      </c>
      <c r="I159" s="486">
        <f t="shared" ca="1" si="56"/>
        <v>0</v>
      </c>
      <c r="J159" s="486">
        <f t="shared" ca="1" si="56"/>
        <v>0</v>
      </c>
      <c r="K159" s="486">
        <f t="shared" ca="1" si="56"/>
        <v>0</v>
      </c>
      <c r="L159" s="486">
        <f t="shared" ca="1" si="56"/>
        <v>0</v>
      </c>
      <c r="M159" s="486">
        <f t="shared" ca="1" si="56"/>
        <v>0</v>
      </c>
      <c r="N159" s="486">
        <f t="shared" ca="1" si="56"/>
        <v>0</v>
      </c>
      <c r="O159" s="486">
        <f t="shared" ca="1" si="56"/>
        <v>0</v>
      </c>
      <c r="P159" s="489">
        <f t="shared" ca="1" si="46"/>
        <v>0</v>
      </c>
    </row>
    <row r="160" spans="1:16" x14ac:dyDescent="0.3">
      <c r="C160" s="409" t="s">
        <v>769</v>
      </c>
      <c r="E160" s="486">
        <f t="shared" ref="E160:O161" ca="1" si="57">E151+E154+E157</f>
        <v>0</v>
      </c>
      <c r="F160" s="486">
        <f t="shared" ca="1" si="57"/>
        <v>0</v>
      </c>
      <c r="G160" s="486">
        <f t="shared" ca="1" si="57"/>
        <v>0</v>
      </c>
      <c r="H160" s="486">
        <f t="shared" ca="1" si="57"/>
        <v>0</v>
      </c>
      <c r="I160" s="486">
        <f t="shared" ca="1" si="57"/>
        <v>0</v>
      </c>
      <c r="J160" s="486">
        <f t="shared" ca="1" si="57"/>
        <v>0</v>
      </c>
      <c r="K160" s="486">
        <f t="shared" ca="1" si="57"/>
        <v>0</v>
      </c>
      <c r="L160" s="486">
        <f t="shared" ca="1" si="57"/>
        <v>0</v>
      </c>
      <c r="M160" s="486">
        <f t="shared" ca="1" si="57"/>
        <v>0</v>
      </c>
      <c r="N160" s="486">
        <f t="shared" ca="1" si="57"/>
        <v>0</v>
      </c>
      <c r="O160" s="486">
        <f t="shared" ca="1" si="57"/>
        <v>0</v>
      </c>
      <c r="P160" s="489">
        <f t="shared" ca="1" si="46"/>
        <v>0</v>
      </c>
    </row>
    <row r="161" spans="3:16" x14ac:dyDescent="0.3">
      <c r="C161" s="409" t="s">
        <v>770</v>
      </c>
      <c r="E161" s="486">
        <f t="shared" ca="1" si="57"/>
        <v>0</v>
      </c>
      <c r="F161" s="486">
        <f t="shared" ca="1" si="57"/>
        <v>0</v>
      </c>
      <c r="G161" s="486">
        <f t="shared" ca="1" si="57"/>
        <v>0</v>
      </c>
      <c r="H161" s="486">
        <f t="shared" ca="1" si="57"/>
        <v>0</v>
      </c>
      <c r="I161" s="486">
        <f t="shared" ca="1" si="57"/>
        <v>0</v>
      </c>
      <c r="J161" s="486">
        <f t="shared" ca="1" si="57"/>
        <v>0</v>
      </c>
      <c r="K161" s="486">
        <f t="shared" ca="1" si="57"/>
        <v>0</v>
      </c>
      <c r="L161" s="486">
        <f t="shared" ca="1" si="57"/>
        <v>0</v>
      </c>
      <c r="M161" s="486">
        <f t="shared" ca="1" si="57"/>
        <v>0</v>
      </c>
      <c r="N161" s="486">
        <f t="shared" ca="1" si="57"/>
        <v>0</v>
      </c>
      <c r="O161" s="486">
        <f t="shared" ca="1" si="57"/>
        <v>0</v>
      </c>
      <c r="P161" s="489">
        <f t="shared" ca="1" si="46"/>
        <v>0</v>
      </c>
    </row>
    <row r="162" spans="3:16" s="365" customFormat="1" x14ac:dyDescent="0.3">
      <c r="C162" s="365" t="s">
        <v>790</v>
      </c>
      <c r="E162" s="482">
        <f t="shared" ref="E162:O162" ca="1" si="58">IFERROR(E107*(E42+E70)/(E45+E73),0)</f>
        <v>0</v>
      </c>
      <c r="F162" s="482">
        <f t="shared" ca="1" si="58"/>
        <v>0</v>
      </c>
      <c r="G162" s="482">
        <f t="shared" ca="1" si="58"/>
        <v>0</v>
      </c>
      <c r="H162" s="482">
        <f t="shared" ca="1" si="58"/>
        <v>0</v>
      </c>
      <c r="I162" s="482">
        <f t="shared" ca="1" si="58"/>
        <v>0</v>
      </c>
      <c r="J162" s="482">
        <f t="shared" ca="1" si="58"/>
        <v>0</v>
      </c>
      <c r="K162" s="482">
        <f t="shared" ca="1" si="58"/>
        <v>0</v>
      </c>
      <c r="L162" s="482">
        <f t="shared" ca="1" si="58"/>
        <v>0</v>
      </c>
      <c r="M162" s="482">
        <f t="shared" ca="1" si="58"/>
        <v>0</v>
      </c>
      <c r="N162" s="482">
        <f t="shared" ca="1" si="58"/>
        <v>0</v>
      </c>
      <c r="O162" s="482">
        <f t="shared" ca="1" si="58"/>
        <v>0</v>
      </c>
      <c r="P162" s="488">
        <f t="shared" ca="1" si="46"/>
        <v>0</v>
      </c>
    </row>
    <row r="163" spans="3:16" s="365" customFormat="1" x14ac:dyDescent="0.3">
      <c r="C163" s="365" t="s">
        <v>791</v>
      </c>
      <c r="E163" s="482">
        <f t="shared" ref="E163:O163" ca="1" si="59">IFERROR(E107*(E43+E71)/(E45+E73),0)</f>
        <v>0</v>
      </c>
      <c r="F163" s="482">
        <f t="shared" ca="1" si="59"/>
        <v>0</v>
      </c>
      <c r="G163" s="482">
        <f t="shared" ca="1" si="59"/>
        <v>0</v>
      </c>
      <c r="H163" s="482">
        <f t="shared" ca="1" si="59"/>
        <v>0</v>
      </c>
      <c r="I163" s="482">
        <f t="shared" ca="1" si="59"/>
        <v>0</v>
      </c>
      <c r="J163" s="482">
        <f t="shared" ca="1" si="59"/>
        <v>0</v>
      </c>
      <c r="K163" s="482">
        <f t="shared" ca="1" si="59"/>
        <v>0</v>
      </c>
      <c r="L163" s="482">
        <f t="shared" ca="1" si="59"/>
        <v>0</v>
      </c>
      <c r="M163" s="482">
        <f t="shared" ca="1" si="59"/>
        <v>0</v>
      </c>
      <c r="N163" s="482">
        <f t="shared" ca="1" si="59"/>
        <v>0</v>
      </c>
      <c r="O163" s="482">
        <f t="shared" ca="1" si="59"/>
        <v>0</v>
      </c>
      <c r="P163" s="488">
        <f t="shared" ca="1" si="46"/>
        <v>0</v>
      </c>
    </row>
    <row r="164" spans="3:16" s="365" customFormat="1" x14ac:dyDescent="0.3">
      <c r="C164" s="365" t="s">
        <v>792</v>
      </c>
      <c r="E164" s="482">
        <f t="shared" ref="E164:O164" ca="1" si="60">IFERROR(E107*(E44+E72)/(E45+E73),0)</f>
        <v>0</v>
      </c>
      <c r="F164" s="482">
        <f t="shared" ca="1" si="60"/>
        <v>0</v>
      </c>
      <c r="G164" s="482">
        <f t="shared" ca="1" si="60"/>
        <v>0</v>
      </c>
      <c r="H164" s="482">
        <f t="shared" ca="1" si="60"/>
        <v>0</v>
      </c>
      <c r="I164" s="482">
        <f t="shared" ca="1" si="60"/>
        <v>0</v>
      </c>
      <c r="J164" s="482">
        <f t="shared" ca="1" si="60"/>
        <v>0</v>
      </c>
      <c r="K164" s="482">
        <f t="shared" ca="1" si="60"/>
        <v>0</v>
      </c>
      <c r="L164" s="482">
        <f t="shared" ca="1" si="60"/>
        <v>0</v>
      </c>
      <c r="M164" s="482">
        <f t="shared" ca="1" si="60"/>
        <v>0</v>
      </c>
      <c r="N164" s="482">
        <f t="shared" ca="1" si="60"/>
        <v>0</v>
      </c>
      <c r="O164" s="482">
        <f t="shared" ca="1" si="60"/>
        <v>0</v>
      </c>
      <c r="P164" s="488">
        <f t="shared" ca="1" si="46"/>
        <v>0</v>
      </c>
    </row>
    <row r="165" spans="3:16" s="1" customFormat="1" x14ac:dyDescent="0.3">
      <c r="C165" s="409" t="s">
        <v>771</v>
      </c>
      <c r="E165" s="486">
        <f ca="1">IFERROR(IF(OR('B. Implementation Plan'!K442="Y",'B. Implementation Plan'!K442="Yes"),(E34/E37*E29)*('B. Implementation Plan'!L442+'B. Implementation Plan'!E463+'B. Implementation Plan'!E466)*(1+E19)^E125,(E34/E37*E29)*('B. Implementation Plan'!E442+'B. Implementation Plan'!E463+'B. Implementation Plan'!E466)*(1+E19)^E125),0)</f>
        <v>0</v>
      </c>
      <c r="F165" s="486">
        <f ca="1">IFERROR(IF(OR('B. Implementation Plan'!K442="Y",'B. Implementation Plan'!K442="Yes"),(F34/F37*F29)*('B. Implementation Plan'!L442+'B. Implementation Plan'!E463+'B. Implementation Plan'!E466)*(1+E19)^F125,(F34/F37*F29)*('B. Implementation Plan'!E442+'B. Implementation Plan'!E463+'B. Implementation Plan'!E466)*(1+E19)^F125),0)</f>
        <v>0</v>
      </c>
      <c r="G165" s="486">
        <f ca="1">IFERROR(IF(OR('B. Implementation Plan'!K442="Y",'B. Implementation Plan'!K442="Yes"),(G34/G37*G29)*('B. Implementation Plan'!L442+'B. Implementation Plan'!E463+'B. Implementation Plan'!E466)*(1+E19)^G125,(G34/G37*G29)*('B. Implementation Plan'!E442+'B. Implementation Plan'!E463+'B. Implementation Plan'!E466)*(1+E19)^G125),0)</f>
        <v>0</v>
      </c>
      <c r="H165" s="486">
        <f ca="1">IFERROR(IF(OR('B. Implementation Plan'!K442="Y",'B. Implementation Plan'!K442="Yes"),(H34/H37*H29)*('B. Implementation Plan'!L442+'B. Implementation Plan'!E463+'B. Implementation Plan'!E466)*(1+E19)^H125,(H34/H37*H29)*('B. Implementation Plan'!E442+'B. Implementation Plan'!E463+'B. Implementation Plan'!E466)*(1+E19)^H125),0)</f>
        <v>0</v>
      </c>
      <c r="I165" s="486">
        <f ca="1">IFERROR(IF(OR('B. Implementation Plan'!K442="Y",'B. Implementation Plan'!K442="Yes"),(I34/I37*I29)*('B. Implementation Plan'!L442+'B. Implementation Plan'!E463+'B. Implementation Plan'!E466)*(1+E19)^I125,(I34/I37*I29)*('B. Implementation Plan'!E442+'B. Implementation Plan'!E463+'B. Implementation Plan'!E466)*(1+E19)^I125),0)</f>
        <v>0</v>
      </c>
      <c r="J165" s="486">
        <f ca="1">IFERROR(IF(OR('B. Implementation Plan'!K442="Y",'B. Implementation Plan'!K442="Yes"),(J34/J37*J29)*('B. Implementation Plan'!L442+'B. Implementation Plan'!E463+'B. Implementation Plan'!E466)*(1+E19)^J125,(J34/J37*J29)*('B. Implementation Plan'!E442+'B. Implementation Plan'!E463+'B. Implementation Plan'!E466)*(1+E19)^J125),0)</f>
        <v>0</v>
      </c>
      <c r="K165" s="486">
        <f ca="1">IFERROR(IF(OR('B. Implementation Plan'!K442="Y",'B. Implementation Plan'!K442="Yes"),(K34/K37*K29)*('B. Implementation Plan'!L442+'B. Implementation Plan'!E463+'B. Implementation Plan'!E466)*(1+E19)^K125,(K34/K37*K29)*('B. Implementation Plan'!E442+'B. Implementation Plan'!E463+'B. Implementation Plan'!E466)*(1+E19)^K125),0)</f>
        <v>0</v>
      </c>
      <c r="L165" s="486">
        <f ca="1">IFERROR(IF(OR('B. Implementation Plan'!K442="Y",'B. Implementation Plan'!K442="Yes"),(L34/L37*L29)*('B. Implementation Plan'!L442+'B. Implementation Plan'!E463+'B. Implementation Plan'!E466)*(1+E19)^L125,(L34/L37*L29)*('B. Implementation Plan'!E442+'B. Implementation Plan'!E463+'B. Implementation Plan'!E466)*(1+E19)^L125),0)</f>
        <v>0</v>
      </c>
      <c r="M165" s="486">
        <f ca="1">IFERROR(IF(OR('B. Implementation Plan'!K442="Y",'B. Implementation Plan'!K442="Yes"),(M34/M37*M29)*('B. Implementation Plan'!L442+'B. Implementation Plan'!E463+'B. Implementation Plan'!E466)*(1+E19)^M125,(M34/M37*M29)*('B. Implementation Plan'!E442+'B. Implementation Plan'!E463+'B. Implementation Plan'!E466)*(1+E19)^M125),0)</f>
        <v>0</v>
      </c>
      <c r="N165" s="486">
        <f ca="1">IFERROR(IF(OR('B. Implementation Plan'!K442="Y",'B. Implementation Plan'!K442="Yes"),(N34/N37*N29)*('B. Implementation Plan'!L442+'B. Implementation Plan'!E463+'B. Implementation Plan'!E466)*(1+E19)^N125,(N34/N37*N29)*('B. Implementation Plan'!E442+'B. Implementation Plan'!E463+'B. Implementation Plan'!E466)*(1+E19)^N125),0)</f>
        <v>0</v>
      </c>
      <c r="O165" s="486">
        <f ca="1">IFERROR(IF(OR('B. Implementation Plan'!K442="Y",'B. Implementation Plan'!K442="Yes"),(O34/O37*O29)*('B. Implementation Plan'!L442+'B. Implementation Plan'!E463+'B. Implementation Plan'!E466)*(1+E19)^O125,(O34/O37*O29)*('B. Implementation Plan'!E442+'B. Implementation Plan'!E463+'B. Implementation Plan'!E466)*(1+E19)^O125),0)</f>
        <v>0</v>
      </c>
      <c r="P165" s="489">
        <f t="shared" ca="1" si="46"/>
        <v>0</v>
      </c>
    </row>
    <row r="166" spans="3:16" s="1" customFormat="1" x14ac:dyDescent="0.3">
      <c r="C166" s="409" t="s">
        <v>772</v>
      </c>
      <c r="E166" s="486">
        <f ca="1">IFERROR(IF(OR('B. Implementation Plan'!K442="Y",'B. Implementation Plan'!K442="Yes"),(E35/E37*E29)*('B. Implementation Plan'!M442+'B. Implementation Plan'!E463+'B. Implementation Plan'!E466)*(1+E19)^E125,(E35/E37*E29)*('B. Implementation Plan'!F442+'B. Implementation Plan'!E463+'B. Implementation Plan'!E466)*(1+E19)^E125),0)</f>
        <v>0</v>
      </c>
      <c r="F166" s="486">
        <f ca="1">IFERROR(IF(OR('B. Implementation Plan'!K442="Y",'B. Implementation Plan'!K442="Yes"),(F35/F37*F29)*('B. Implementation Plan'!M442+'B. Implementation Plan'!E463+'B. Implementation Plan'!E466)*(1+E19)^F125,(F35/F37*F29)*('B. Implementation Plan'!F442+'B. Implementation Plan'!E463+'B. Implementation Plan'!E466)*(1+E19)^F125),0)</f>
        <v>0</v>
      </c>
      <c r="G166" s="486">
        <f ca="1">IFERROR(IF(OR('B. Implementation Plan'!K442="Y",'B. Implementation Plan'!K442="Yes"),(G35/G37*G29)*('B. Implementation Plan'!M442+'B. Implementation Plan'!E463+'B. Implementation Plan'!E466)*(1+E19)^G125,(G35/G37*G29)*('B. Implementation Plan'!F442+'B. Implementation Plan'!E463+'B. Implementation Plan'!E466)*(1+E19)^G125),0)</f>
        <v>0</v>
      </c>
      <c r="H166" s="486">
        <f ca="1">IFERROR(IF(OR('B. Implementation Plan'!K442="Y",'B. Implementation Plan'!K442="Yes"),(H35/H37*H29)*('B. Implementation Plan'!M442+'B. Implementation Plan'!E463+'B. Implementation Plan'!E466)*(1+E19)^H125,(H35/H37*H29)*('B. Implementation Plan'!F442+'B. Implementation Plan'!E463+'B. Implementation Plan'!E466)*(1+E19)^H125),0)</f>
        <v>0</v>
      </c>
      <c r="I166" s="486">
        <f ca="1">IFERROR(IF(OR('B. Implementation Plan'!K442="Y",'B. Implementation Plan'!K442="Yes"),(I35/I37*I29)*('B. Implementation Plan'!M442+'B. Implementation Plan'!E463+'B. Implementation Plan'!E466)*(1+E19)^I125,(I35/I37*I29)*('B. Implementation Plan'!F442+'B. Implementation Plan'!E463+'B. Implementation Plan'!E466)*(1+E19)^I125),0)</f>
        <v>0</v>
      </c>
      <c r="J166" s="486">
        <f ca="1">IFERROR(IF(OR('B. Implementation Plan'!K442="Y",'B. Implementation Plan'!K442="Yes"),(J35/J37*J29)*('B. Implementation Plan'!M442+'B. Implementation Plan'!E463+'B. Implementation Plan'!E466)*(1+E19)^J125,(J35/J37*J29)*('B. Implementation Plan'!F442+'B. Implementation Plan'!E463+'B. Implementation Plan'!E466)*(1+E19)^J125),0)</f>
        <v>0</v>
      </c>
      <c r="K166" s="486">
        <f ca="1">IFERROR(IF(OR('B. Implementation Plan'!K442="Y",'B. Implementation Plan'!K442="Yes"),(K35/K37*K29)*('B. Implementation Plan'!M442+'B. Implementation Plan'!E463+'B. Implementation Plan'!E466)*(1+E19)^K125,(K35/K37*K29)*('B. Implementation Plan'!F442+'B. Implementation Plan'!E463+'B. Implementation Plan'!E466)*(1+E19)^K125),0)</f>
        <v>0</v>
      </c>
      <c r="L166" s="486">
        <f ca="1">IFERROR(IF(OR('B. Implementation Plan'!K442="Y",'B. Implementation Plan'!K442="Yes"),(L35/L37*L29)*('B. Implementation Plan'!M442+'B. Implementation Plan'!E463+'B. Implementation Plan'!E466)*(1+E19)^L125,(L35/L37*L29)*('B. Implementation Plan'!F442+'B. Implementation Plan'!E463+'B. Implementation Plan'!E466)*(1+E19)^L125),0)</f>
        <v>0</v>
      </c>
      <c r="M166" s="486">
        <f ca="1">IFERROR(IF(OR('B. Implementation Plan'!K442="Y",'B. Implementation Plan'!K442="Yes"),(M35/M37*M29)*('B. Implementation Plan'!M442+'B. Implementation Plan'!E463+'B. Implementation Plan'!E466)*(1+E19)^M125,(M35/M37*M29)*('B. Implementation Plan'!F442+'B. Implementation Plan'!E463+'B. Implementation Plan'!E466)*(1+E19)^M125),0)</f>
        <v>0</v>
      </c>
      <c r="N166" s="486">
        <f ca="1">IFERROR(IF(OR('B. Implementation Plan'!K442="Y",'B. Implementation Plan'!K442="Yes"),(N35/N37*N29)*('B. Implementation Plan'!M442+'B. Implementation Plan'!E463+'B. Implementation Plan'!E466)*(1+E19)^N125,(N35/N37*N29)*('B. Implementation Plan'!F442+'B. Implementation Plan'!E463+'B. Implementation Plan'!E466)*(1+E19)^N125),0)</f>
        <v>0</v>
      </c>
      <c r="O166" s="486">
        <f ca="1">IFERROR(IF(OR('B. Implementation Plan'!K442="Y",'B. Implementation Plan'!K442="Yes"),(O35/O37*O29)*('B. Implementation Plan'!M442+'B. Implementation Plan'!E463+'B. Implementation Plan'!E466)*(1+E19)^O125,(O35/O37*O29)*('B. Implementation Plan'!F442+'B. Implementation Plan'!E463+'B. Implementation Plan'!E466)*(1+E19)^O125),0)</f>
        <v>0</v>
      </c>
      <c r="P166" s="489">
        <f t="shared" ca="1" si="46"/>
        <v>0</v>
      </c>
    </row>
    <row r="167" spans="3:16" s="1" customFormat="1" x14ac:dyDescent="0.3">
      <c r="C167" s="409" t="s">
        <v>773</v>
      </c>
      <c r="E167" s="486">
        <f ca="1">IFERROR(IF(OR('B. Implementation Plan'!K442="Y",'B. Implementation Plan'!K442="Yes"),(E36/E37*E29)*('B. Implementation Plan'!N442+'B. Implementation Plan'!E463+'B. Implementation Plan'!E466)*(1+E19)^E125,(E36/E37*E29)*('B. Implementation Plan'!G442+'B. Implementation Plan'!E463+'B. Implementation Plan'!E466)*(1+E19)^E125),0)</f>
        <v>0</v>
      </c>
      <c r="F167" s="486">
        <f ca="1">IFERROR(IF(OR('B. Implementation Plan'!K442="Y",'B. Implementation Plan'!K442="Yes"),(F36/F37*F29)*('B. Implementation Plan'!N442+'B. Implementation Plan'!E463+'B. Implementation Plan'!E466)*(1+E19)^F125,(F36/F37*F29)*('B. Implementation Plan'!G442+'B. Implementation Plan'!E463+'B. Implementation Plan'!E466)*(1+E19)^F125),0)</f>
        <v>0</v>
      </c>
      <c r="G167" s="486">
        <f ca="1">IFERROR(IF(OR('B. Implementation Plan'!K442="Y",'B. Implementation Plan'!K442="Yes"),(G36/G37*G29)*('B. Implementation Plan'!N442+'B. Implementation Plan'!E463+'B. Implementation Plan'!E466)*(1+E19)^G125,(G36/G37*G29)*('B. Implementation Plan'!G442+'B. Implementation Plan'!E463+'B. Implementation Plan'!E466)*(1+E19)^G125),0)</f>
        <v>0</v>
      </c>
      <c r="H167" s="486">
        <f ca="1">IFERROR(IF(OR('B. Implementation Plan'!K442="Y",'B. Implementation Plan'!K442="Yes"),(H36/H37*H29)*('B. Implementation Plan'!N442+'B. Implementation Plan'!E463+'B. Implementation Plan'!E466)*(1+E19)^H125,(H36/H37*H29)*('B. Implementation Plan'!G442+'B. Implementation Plan'!E463+'B. Implementation Plan'!E466)*(1+E19)^H125),0)</f>
        <v>0</v>
      </c>
      <c r="I167" s="486">
        <f ca="1">IFERROR(IF(OR('B. Implementation Plan'!K442="Y",'B. Implementation Plan'!K442="Yes"),(I36/I37*I29)*('B. Implementation Plan'!N442+'B. Implementation Plan'!E463+'B. Implementation Plan'!E466)*(1+E19)^I125,(I36/I37*I29)*('B. Implementation Plan'!G442+'B. Implementation Plan'!E463+'B. Implementation Plan'!E466)*(1+E19)^I125),0)</f>
        <v>0</v>
      </c>
      <c r="J167" s="486">
        <f ca="1">IFERROR(IF(OR('B. Implementation Plan'!K442="Y",'B. Implementation Plan'!K442="Yes"),(J36/J37*J29)*('B. Implementation Plan'!N442+'B. Implementation Plan'!E463+'B. Implementation Plan'!E466)*(1+E19)^J125,(J36/J37*J29)*('B. Implementation Plan'!G442+'B. Implementation Plan'!E463+'B. Implementation Plan'!E466)*(1+E19)^J125),0)</f>
        <v>0</v>
      </c>
      <c r="K167" s="486">
        <f ca="1">IFERROR(IF(OR('B. Implementation Plan'!K442="Y",'B. Implementation Plan'!K442="Yes"),(K36/K37*K29)*('B. Implementation Plan'!N442+'B. Implementation Plan'!E463+'B. Implementation Plan'!E466)*(1+E19)^K125,(K36/K37*K29)*('B. Implementation Plan'!G442+'B. Implementation Plan'!E463+'B. Implementation Plan'!E466)*(1+E19)^K125),0)</f>
        <v>0</v>
      </c>
      <c r="L167" s="486">
        <f ca="1">IFERROR(IF(OR('B. Implementation Plan'!K442="Y",'B. Implementation Plan'!K442="Yes"),(L36/L37*L29)*('B. Implementation Plan'!N442+'B. Implementation Plan'!E463+'B. Implementation Plan'!E466)*(1+E19)^L125,(L36/L37*L29)*('B. Implementation Plan'!G442+'B. Implementation Plan'!E463+'B. Implementation Plan'!E466)*(1+E19)^L125),0)</f>
        <v>0</v>
      </c>
      <c r="M167" s="486">
        <f ca="1">IFERROR(IF(OR('B. Implementation Plan'!K442="Y",'B. Implementation Plan'!K442="Yes"),(M36/M37*M29)*('B. Implementation Plan'!N442+'B. Implementation Plan'!E463+'B. Implementation Plan'!E466)*(1+E19)^M125,(M36/M37*M29)*('B. Implementation Plan'!G442+'B. Implementation Plan'!E463+'B. Implementation Plan'!E466)*(1+E19)^M125),0)</f>
        <v>0</v>
      </c>
      <c r="N167" s="486">
        <f ca="1">IFERROR(IF(OR('B. Implementation Plan'!K442="Y",'B. Implementation Plan'!K442="Yes"),(N36/N37*N29)*('B. Implementation Plan'!N442+'B. Implementation Plan'!E463+'B. Implementation Plan'!E466)*(1+E19)^N125,(N36/N37*N29)*('B. Implementation Plan'!G442+'B. Implementation Plan'!E463+'B. Implementation Plan'!E466)*(1+E19)^N125),0)</f>
        <v>0</v>
      </c>
      <c r="O167" s="486">
        <f ca="1">IFERROR(IF(OR('B. Implementation Plan'!K442="Y",'B. Implementation Plan'!K442="Yes"),(O36/O37*O29)*('B. Implementation Plan'!N442+'B. Implementation Plan'!E463+'B. Implementation Plan'!E466)*(1+E19)^O125,(O36/O37*O29)*('B. Implementation Plan'!G442+'B. Implementation Plan'!E463+'B. Implementation Plan'!E466)*(1+E19)^O125),0)</f>
        <v>0</v>
      </c>
      <c r="P167" s="489">
        <f t="shared" ca="1" si="46"/>
        <v>0</v>
      </c>
    </row>
    <row r="168" spans="3:16" s="365" customFormat="1" x14ac:dyDescent="0.3">
      <c r="C168" s="470" t="s">
        <v>774</v>
      </c>
      <c r="E168" s="482">
        <f t="shared" ref="E168:O168" ca="1" si="61">IFERROR(E114*E30/E33,0)</f>
        <v>0</v>
      </c>
      <c r="F168" s="482">
        <f t="shared" ca="1" si="61"/>
        <v>0</v>
      </c>
      <c r="G168" s="482">
        <f t="shared" ca="1" si="61"/>
        <v>0</v>
      </c>
      <c r="H168" s="482">
        <f t="shared" ca="1" si="61"/>
        <v>0</v>
      </c>
      <c r="I168" s="482">
        <f t="shared" ca="1" si="61"/>
        <v>0</v>
      </c>
      <c r="J168" s="482">
        <f t="shared" ca="1" si="61"/>
        <v>0</v>
      </c>
      <c r="K168" s="482">
        <f t="shared" ca="1" si="61"/>
        <v>0</v>
      </c>
      <c r="L168" s="482">
        <f t="shared" ca="1" si="61"/>
        <v>0</v>
      </c>
      <c r="M168" s="482">
        <f t="shared" ca="1" si="61"/>
        <v>0</v>
      </c>
      <c r="N168" s="482">
        <f t="shared" ca="1" si="61"/>
        <v>0</v>
      </c>
      <c r="O168" s="482">
        <f t="shared" ca="1" si="61"/>
        <v>0</v>
      </c>
      <c r="P168" s="488">
        <f t="shared" ca="1" si="46"/>
        <v>0</v>
      </c>
    </row>
    <row r="169" spans="3:16" s="365" customFormat="1" ht="14.55" customHeight="1" x14ac:dyDescent="0.3">
      <c r="C169" s="470" t="s">
        <v>775</v>
      </c>
      <c r="E169" s="482">
        <f t="shared" ref="E169:O169" ca="1" si="62">IFERROR(E114*E31/E33,0)</f>
        <v>0</v>
      </c>
      <c r="F169" s="482">
        <f t="shared" ca="1" si="62"/>
        <v>0</v>
      </c>
      <c r="G169" s="482">
        <f t="shared" ca="1" si="62"/>
        <v>0</v>
      </c>
      <c r="H169" s="482">
        <f t="shared" ca="1" si="62"/>
        <v>0</v>
      </c>
      <c r="I169" s="482">
        <f t="shared" ca="1" si="62"/>
        <v>0</v>
      </c>
      <c r="J169" s="482">
        <f t="shared" ca="1" si="62"/>
        <v>0</v>
      </c>
      <c r="K169" s="482">
        <f t="shared" ca="1" si="62"/>
        <v>0</v>
      </c>
      <c r="L169" s="482">
        <f t="shared" ca="1" si="62"/>
        <v>0</v>
      </c>
      <c r="M169" s="482">
        <f t="shared" ca="1" si="62"/>
        <v>0</v>
      </c>
      <c r="N169" s="482">
        <f t="shared" ca="1" si="62"/>
        <v>0</v>
      </c>
      <c r="O169" s="482">
        <f t="shared" ca="1" si="62"/>
        <v>0</v>
      </c>
      <c r="P169" s="488">
        <f t="shared" ca="1" si="46"/>
        <v>0</v>
      </c>
    </row>
    <row r="170" spans="3:16" s="365" customFormat="1" ht="14.55" customHeight="1" x14ac:dyDescent="0.3">
      <c r="C170" s="470" t="s">
        <v>776</v>
      </c>
      <c r="E170" s="482">
        <f t="shared" ref="E170:O170" ca="1" si="63">IFERROR(E114*E32/E33,0)</f>
        <v>0</v>
      </c>
      <c r="F170" s="482">
        <f t="shared" ca="1" si="63"/>
        <v>0</v>
      </c>
      <c r="G170" s="482">
        <f t="shared" ca="1" si="63"/>
        <v>0</v>
      </c>
      <c r="H170" s="482">
        <f t="shared" ca="1" si="63"/>
        <v>0</v>
      </c>
      <c r="I170" s="482">
        <f t="shared" ca="1" si="63"/>
        <v>0</v>
      </c>
      <c r="J170" s="482">
        <f t="shared" ca="1" si="63"/>
        <v>0</v>
      </c>
      <c r="K170" s="482">
        <f t="shared" ca="1" si="63"/>
        <v>0</v>
      </c>
      <c r="L170" s="482">
        <f t="shared" ca="1" si="63"/>
        <v>0</v>
      </c>
      <c r="M170" s="482">
        <f t="shared" ca="1" si="63"/>
        <v>0</v>
      </c>
      <c r="N170" s="482">
        <f t="shared" ca="1" si="63"/>
        <v>0</v>
      </c>
      <c r="O170" s="482">
        <f t="shared" ca="1" si="63"/>
        <v>0</v>
      </c>
      <c r="P170" s="488">
        <f t="shared" ca="1" si="46"/>
        <v>0</v>
      </c>
    </row>
    <row r="171" spans="3:16" s="1" customFormat="1" x14ac:dyDescent="0.3">
      <c r="C171" s="409" t="s">
        <v>777</v>
      </c>
      <c r="E171" s="486">
        <f t="shared" ref="E171:O171" ca="1" si="64">IFERROR(E115*E30/E33,0)</f>
        <v>0</v>
      </c>
      <c r="F171" s="486">
        <f t="shared" ca="1" si="64"/>
        <v>0</v>
      </c>
      <c r="G171" s="486">
        <f t="shared" ca="1" si="64"/>
        <v>0</v>
      </c>
      <c r="H171" s="486">
        <f t="shared" ca="1" si="64"/>
        <v>0</v>
      </c>
      <c r="I171" s="486">
        <f t="shared" ca="1" si="64"/>
        <v>0</v>
      </c>
      <c r="J171" s="486">
        <f t="shared" ca="1" si="64"/>
        <v>0</v>
      </c>
      <c r="K171" s="486">
        <f t="shared" ca="1" si="64"/>
        <v>0</v>
      </c>
      <c r="L171" s="486">
        <f t="shared" ca="1" si="64"/>
        <v>0</v>
      </c>
      <c r="M171" s="486">
        <f t="shared" ca="1" si="64"/>
        <v>0</v>
      </c>
      <c r="N171" s="486">
        <f t="shared" ca="1" si="64"/>
        <v>0</v>
      </c>
      <c r="O171" s="486">
        <f t="shared" ca="1" si="64"/>
        <v>0</v>
      </c>
      <c r="P171" s="489">
        <f t="shared" ca="1" si="46"/>
        <v>0</v>
      </c>
    </row>
    <row r="172" spans="3:16" s="1" customFormat="1" x14ac:dyDescent="0.3">
      <c r="C172" s="409" t="s">
        <v>778</v>
      </c>
      <c r="E172" s="486">
        <f t="shared" ref="E172:O172" ca="1" si="65">IFERROR(E115*E31/E33,0)</f>
        <v>0</v>
      </c>
      <c r="F172" s="486">
        <f t="shared" ca="1" si="65"/>
        <v>0</v>
      </c>
      <c r="G172" s="486">
        <f t="shared" ca="1" si="65"/>
        <v>0</v>
      </c>
      <c r="H172" s="486">
        <f t="shared" ca="1" si="65"/>
        <v>0</v>
      </c>
      <c r="I172" s="486">
        <f t="shared" ca="1" si="65"/>
        <v>0</v>
      </c>
      <c r="J172" s="486">
        <f t="shared" ca="1" si="65"/>
        <v>0</v>
      </c>
      <c r="K172" s="486">
        <f t="shared" ca="1" si="65"/>
        <v>0</v>
      </c>
      <c r="L172" s="486">
        <f t="shared" ca="1" si="65"/>
        <v>0</v>
      </c>
      <c r="M172" s="486">
        <f t="shared" ca="1" si="65"/>
        <v>0</v>
      </c>
      <c r="N172" s="486">
        <f t="shared" ca="1" si="65"/>
        <v>0</v>
      </c>
      <c r="O172" s="486">
        <f t="shared" ca="1" si="65"/>
        <v>0</v>
      </c>
      <c r="P172" s="489">
        <f t="shared" ca="1" si="46"/>
        <v>0</v>
      </c>
    </row>
    <row r="173" spans="3:16" s="1" customFormat="1" x14ac:dyDescent="0.3">
      <c r="C173" s="409" t="s">
        <v>779</v>
      </c>
      <c r="E173" s="486">
        <f t="shared" ref="E173:O173" ca="1" si="66">IFERROR(E115*E32/E33,0)</f>
        <v>0</v>
      </c>
      <c r="F173" s="486">
        <f t="shared" ca="1" si="66"/>
        <v>0</v>
      </c>
      <c r="G173" s="486">
        <f t="shared" ca="1" si="66"/>
        <v>0</v>
      </c>
      <c r="H173" s="486">
        <f t="shared" ca="1" si="66"/>
        <v>0</v>
      </c>
      <c r="I173" s="486">
        <f t="shared" ca="1" si="66"/>
        <v>0</v>
      </c>
      <c r="J173" s="486">
        <f t="shared" ca="1" si="66"/>
        <v>0</v>
      </c>
      <c r="K173" s="486">
        <f t="shared" ca="1" si="66"/>
        <v>0</v>
      </c>
      <c r="L173" s="486">
        <f t="shared" ca="1" si="66"/>
        <v>0</v>
      </c>
      <c r="M173" s="486">
        <f t="shared" ca="1" si="66"/>
        <v>0</v>
      </c>
      <c r="N173" s="486">
        <f t="shared" ca="1" si="66"/>
        <v>0</v>
      </c>
      <c r="O173" s="486">
        <f t="shared" ca="1" si="66"/>
        <v>0</v>
      </c>
      <c r="P173" s="489">
        <f t="shared" ca="1" si="46"/>
        <v>0</v>
      </c>
    </row>
    <row r="174" spans="3:16" x14ac:dyDescent="0.3">
      <c r="C174" s="470" t="s">
        <v>780</v>
      </c>
      <c r="E174" s="482">
        <f ca="1">('B. Implementation Plan'!E493+'B. Implementation Plan'!E494)*(E159+E162+E165+E168+E171)</f>
        <v>0</v>
      </c>
      <c r="F174" s="482">
        <f ca="1">('B. Implementation Plan'!E493+'B. Implementation Plan'!E494)*(F159+F162+F165+F168+F171)</f>
        <v>0</v>
      </c>
      <c r="G174" s="482">
        <f ca="1">('B. Implementation Plan'!E493+'B. Implementation Plan'!E494)*(G159+G162+G165+G168+G171)</f>
        <v>0</v>
      </c>
      <c r="H174" s="482">
        <f ca="1">('B. Implementation Plan'!E493+'B. Implementation Plan'!E494)*(H159+H162+H165+H168+H171)</f>
        <v>0</v>
      </c>
      <c r="I174" s="482">
        <f ca="1">('B. Implementation Plan'!E493+'B. Implementation Plan'!E494)*(I159+I162+I165+I168+I171)</f>
        <v>0</v>
      </c>
      <c r="J174" s="482">
        <f ca="1">('B. Implementation Plan'!E493+'B. Implementation Plan'!E494)*(J159+J162+J165+J168+J171)</f>
        <v>0</v>
      </c>
      <c r="K174" s="482">
        <f ca="1">('B. Implementation Plan'!E493+'B. Implementation Plan'!E494)*(K159+K162+K165+K168+K171)</f>
        <v>0</v>
      </c>
      <c r="L174" s="482">
        <f ca="1">('B. Implementation Plan'!E493+'B. Implementation Plan'!E494)*(L159+L162+L165+L168+L171)</f>
        <v>0</v>
      </c>
      <c r="M174" s="482">
        <f ca="1">('B. Implementation Plan'!E493+'B. Implementation Plan'!E494)*(M159+M162+M165+M168+M171)</f>
        <v>0</v>
      </c>
      <c r="N174" s="482">
        <f ca="1">('B. Implementation Plan'!E493+'B. Implementation Plan'!E494)*(N159+N162+N165+N168+N171)</f>
        <v>0</v>
      </c>
      <c r="O174" s="482">
        <f ca="1">('B. Implementation Plan'!E493+'B. Implementation Plan'!E494)*(O159+O162+O165+O168+O171)</f>
        <v>0</v>
      </c>
      <c r="P174" s="488">
        <f t="shared" ca="1" si="46"/>
        <v>0</v>
      </c>
    </row>
    <row r="175" spans="3:16" x14ac:dyDescent="0.3">
      <c r="C175" s="470" t="s">
        <v>781</v>
      </c>
      <c r="E175" s="482">
        <f ca="1">('B. Implementation Plan'!E493+'B. Implementation Plan'!E494)*(E160+E163+E166+E169+E172)</f>
        <v>0</v>
      </c>
      <c r="F175" s="482">
        <f ca="1">('B. Implementation Plan'!E493+'B. Implementation Plan'!E494)*(F160+F163+F166+F169+F172)</f>
        <v>0</v>
      </c>
      <c r="G175" s="482">
        <f ca="1">('B. Implementation Plan'!E493+'B. Implementation Plan'!E494)*(G160+G163+G166+G169+G172)</f>
        <v>0</v>
      </c>
      <c r="H175" s="482">
        <f ca="1">('B. Implementation Plan'!E493+'B. Implementation Plan'!E494)*(H160+H163+H166+H169+H172)</f>
        <v>0</v>
      </c>
      <c r="I175" s="482">
        <f ca="1">('B. Implementation Plan'!E493+'B. Implementation Plan'!E494)*(I160+I163+I166+I169+I172)</f>
        <v>0</v>
      </c>
      <c r="J175" s="482">
        <f ca="1">('B. Implementation Plan'!E493+'B. Implementation Plan'!E494)*(J160+J163+J166+J169+J172)</f>
        <v>0</v>
      </c>
      <c r="K175" s="482">
        <f ca="1">('B. Implementation Plan'!E493+'B. Implementation Plan'!E494)*(K160+K163+K166+K169+K172)</f>
        <v>0</v>
      </c>
      <c r="L175" s="482">
        <f ca="1">('B. Implementation Plan'!E493+'B. Implementation Plan'!E494)*(L160+L163+L166+L169+L172)</f>
        <v>0</v>
      </c>
      <c r="M175" s="482">
        <f ca="1">('B. Implementation Plan'!E493+'B. Implementation Plan'!E494)*(M160+M163+M166+M169+M172)</f>
        <v>0</v>
      </c>
      <c r="N175" s="482">
        <f ca="1">('B. Implementation Plan'!E493+'B. Implementation Plan'!E494)*(N160+N163+N166+N169+N172)</f>
        <v>0</v>
      </c>
      <c r="O175" s="482">
        <f ca="1">('B. Implementation Plan'!E493+'B. Implementation Plan'!E494)*(O160+O163+O166+O169+O172)</f>
        <v>0</v>
      </c>
      <c r="P175" s="488">
        <f t="shared" ca="1" si="46"/>
        <v>0</v>
      </c>
    </row>
    <row r="176" spans="3:16" x14ac:dyDescent="0.3">
      <c r="C176" s="470" t="s">
        <v>782</v>
      </c>
      <c r="E176" s="482">
        <f ca="1">('B. Implementation Plan'!E493+'B. Implementation Plan'!E494)*(E161+E164+E167+E170+E173)</f>
        <v>0</v>
      </c>
      <c r="F176" s="482">
        <f ca="1">('B. Implementation Plan'!E493+'B. Implementation Plan'!E494)*(F161+F164+F167+F170+F173)</f>
        <v>0</v>
      </c>
      <c r="G176" s="482">
        <f ca="1">('B. Implementation Plan'!E493+'B. Implementation Plan'!E494)*(G161+G164+G167+G170+G173)</f>
        <v>0</v>
      </c>
      <c r="H176" s="482">
        <f ca="1">('B. Implementation Plan'!E493+'B. Implementation Plan'!E494)*(H161+H164+H167+H170+H173)</f>
        <v>0</v>
      </c>
      <c r="I176" s="482">
        <f ca="1">('B. Implementation Plan'!E493+'B. Implementation Plan'!E494)*(I161+I164+I167+I170+I173)</f>
        <v>0</v>
      </c>
      <c r="J176" s="482">
        <f ca="1">('B. Implementation Plan'!E493+'B. Implementation Plan'!E494)*(J161+J164+J167+J170+J173)</f>
        <v>0</v>
      </c>
      <c r="K176" s="482">
        <f ca="1">('B. Implementation Plan'!E493+'B. Implementation Plan'!E494)*(K161+K164+K167+K170+K173)</f>
        <v>0</v>
      </c>
      <c r="L176" s="482">
        <f ca="1">('B. Implementation Plan'!E493+'B. Implementation Plan'!E494)*(L161+L164+L167+L170+L173)</f>
        <v>0</v>
      </c>
      <c r="M176" s="482">
        <f ca="1">('B. Implementation Plan'!E493+'B. Implementation Plan'!E494)*(M161+M164+M167+M170+M173)</f>
        <v>0</v>
      </c>
      <c r="N176" s="482">
        <f ca="1">('B. Implementation Plan'!E493+'B. Implementation Plan'!E494)*(N161+N164+N167+N170+N173)</f>
        <v>0</v>
      </c>
      <c r="O176" s="482">
        <f ca="1">('B. Implementation Plan'!E493+'B. Implementation Plan'!E494)*(O161+O164+O167+O170+O173)</f>
        <v>0</v>
      </c>
      <c r="P176" s="488">
        <f t="shared" ca="1" si="46"/>
        <v>0</v>
      </c>
    </row>
    <row r="177" spans="1:16" s="1" customFormat="1" x14ac:dyDescent="0.3">
      <c r="C177" s="409" t="s">
        <v>783</v>
      </c>
      <c r="E177" s="486">
        <f ca="1">E159+E162+E165+E168+E171+E174</f>
        <v>0</v>
      </c>
      <c r="F177" s="486">
        <f t="shared" ref="F177:O177" ca="1" si="67">F159+F162+F165+F168+F171+F174</f>
        <v>0</v>
      </c>
      <c r="G177" s="486">
        <f t="shared" ca="1" si="67"/>
        <v>0</v>
      </c>
      <c r="H177" s="486">
        <f t="shared" ca="1" si="67"/>
        <v>0</v>
      </c>
      <c r="I177" s="486">
        <f t="shared" ca="1" si="67"/>
        <v>0</v>
      </c>
      <c r="J177" s="486">
        <f t="shared" ca="1" si="67"/>
        <v>0</v>
      </c>
      <c r="K177" s="486">
        <f t="shared" ca="1" si="67"/>
        <v>0</v>
      </c>
      <c r="L177" s="486">
        <f t="shared" ca="1" si="67"/>
        <v>0</v>
      </c>
      <c r="M177" s="486">
        <f t="shared" ca="1" si="67"/>
        <v>0</v>
      </c>
      <c r="N177" s="486">
        <f t="shared" ca="1" si="67"/>
        <v>0</v>
      </c>
      <c r="O177" s="486">
        <f t="shared" ca="1" si="67"/>
        <v>0</v>
      </c>
      <c r="P177" s="489">
        <f t="shared" ca="1" si="46"/>
        <v>0</v>
      </c>
    </row>
    <row r="178" spans="1:16" s="1" customFormat="1" x14ac:dyDescent="0.3">
      <c r="C178" s="409" t="s">
        <v>784</v>
      </c>
      <c r="E178" s="486">
        <f t="shared" ref="E178:O179" ca="1" si="68">E160+E163+E166+E169+E172+E175</f>
        <v>0</v>
      </c>
      <c r="F178" s="486">
        <f t="shared" ca="1" si="68"/>
        <v>0</v>
      </c>
      <c r="G178" s="486">
        <f t="shared" ca="1" si="68"/>
        <v>0</v>
      </c>
      <c r="H178" s="486">
        <f t="shared" ca="1" si="68"/>
        <v>0</v>
      </c>
      <c r="I178" s="486">
        <f t="shared" ca="1" si="68"/>
        <v>0</v>
      </c>
      <c r="J178" s="486">
        <f t="shared" ca="1" si="68"/>
        <v>0</v>
      </c>
      <c r="K178" s="486">
        <f t="shared" ca="1" si="68"/>
        <v>0</v>
      </c>
      <c r="L178" s="486">
        <f t="shared" ca="1" si="68"/>
        <v>0</v>
      </c>
      <c r="M178" s="486">
        <f t="shared" ca="1" si="68"/>
        <v>0</v>
      </c>
      <c r="N178" s="486">
        <f t="shared" ca="1" si="68"/>
        <v>0</v>
      </c>
      <c r="O178" s="486">
        <f t="shared" ca="1" si="68"/>
        <v>0</v>
      </c>
      <c r="P178" s="489">
        <f t="shared" ca="1" si="46"/>
        <v>0</v>
      </c>
    </row>
    <row r="179" spans="1:16" s="1" customFormat="1" x14ac:dyDescent="0.3">
      <c r="C179" s="409" t="s">
        <v>785</v>
      </c>
      <c r="E179" s="486">
        <f t="shared" ca="1" si="68"/>
        <v>0</v>
      </c>
      <c r="F179" s="486">
        <f t="shared" ca="1" si="68"/>
        <v>0</v>
      </c>
      <c r="G179" s="486">
        <f t="shared" ca="1" si="68"/>
        <v>0</v>
      </c>
      <c r="H179" s="486">
        <f t="shared" ca="1" si="68"/>
        <v>0</v>
      </c>
      <c r="I179" s="486">
        <f t="shared" ca="1" si="68"/>
        <v>0</v>
      </c>
      <c r="J179" s="486">
        <f t="shared" ca="1" si="68"/>
        <v>0</v>
      </c>
      <c r="K179" s="486">
        <f t="shared" ca="1" si="68"/>
        <v>0</v>
      </c>
      <c r="L179" s="486">
        <f t="shared" ca="1" si="68"/>
        <v>0</v>
      </c>
      <c r="M179" s="486">
        <f t="shared" ca="1" si="68"/>
        <v>0</v>
      </c>
      <c r="N179" s="486">
        <f t="shared" ca="1" si="68"/>
        <v>0</v>
      </c>
      <c r="O179" s="486">
        <f t="shared" ca="1" si="68"/>
        <v>0</v>
      </c>
      <c r="P179" s="489">
        <f t="shared" ca="1" si="46"/>
        <v>0</v>
      </c>
    </row>
    <row r="180" spans="1:16" s="280" customFormat="1" ht="15.6" x14ac:dyDescent="0.3">
      <c r="C180" s="511" t="s">
        <v>787</v>
      </c>
      <c r="E180" s="509">
        <f t="shared" ref="E180:O180" ca="1" si="69">IFERROR(E177/(E34/E37*E29),0)</f>
        <v>0</v>
      </c>
      <c r="F180" s="509">
        <f t="shared" ca="1" si="69"/>
        <v>0</v>
      </c>
      <c r="G180" s="509">
        <f t="shared" ca="1" si="69"/>
        <v>0</v>
      </c>
      <c r="H180" s="509">
        <f t="shared" ca="1" si="69"/>
        <v>0</v>
      </c>
      <c r="I180" s="509">
        <f t="shared" ca="1" si="69"/>
        <v>0</v>
      </c>
      <c r="J180" s="509">
        <f t="shared" ca="1" si="69"/>
        <v>0</v>
      </c>
      <c r="K180" s="509">
        <f t="shared" ca="1" si="69"/>
        <v>0</v>
      </c>
      <c r="L180" s="509">
        <f t="shared" ca="1" si="69"/>
        <v>0</v>
      </c>
      <c r="M180" s="509">
        <f t="shared" ca="1" si="69"/>
        <v>0</v>
      </c>
      <c r="N180" s="509">
        <f t="shared" ca="1" si="69"/>
        <v>0</v>
      </c>
      <c r="O180" s="509">
        <f t="shared" ca="1" si="69"/>
        <v>0</v>
      </c>
      <c r="P180" s="512">
        <f t="shared" ca="1" si="46"/>
        <v>0</v>
      </c>
    </row>
    <row r="181" spans="1:16" s="280" customFormat="1" ht="15.6" x14ac:dyDescent="0.3">
      <c r="C181" s="511" t="s">
        <v>788</v>
      </c>
      <c r="E181" s="509">
        <f t="shared" ref="E181:O181" ca="1" si="70">IFERROR(E178/(E35/E37*E29),0)</f>
        <v>0</v>
      </c>
      <c r="F181" s="509">
        <f t="shared" ca="1" si="70"/>
        <v>0</v>
      </c>
      <c r="G181" s="509">
        <f t="shared" ca="1" si="70"/>
        <v>0</v>
      </c>
      <c r="H181" s="509">
        <f t="shared" ca="1" si="70"/>
        <v>0</v>
      </c>
      <c r="I181" s="509">
        <f t="shared" ca="1" si="70"/>
        <v>0</v>
      </c>
      <c r="J181" s="509">
        <f t="shared" ca="1" si="70"/>
        <v>0</v>
      </c>
      <c r="K181" s="509">
        <f t="shared" ca="1" si="70"/>
        <v>0</v>
      </c>
      <c r="L181" s="509">
        <f t="shared" ca="1" si="70"/>
        <v>0</v>
      </c>
      <c r="M181" s="509">
        <f t="shared" ca="1" si="70"/>
        <v>0</v>
      </c>
      <c r="N181" s="509">
        <f t="shared" ca="1" si="70"/>
        <v>0</v>
      </c>
      <c r="O181" s="509">
        <f t="shared" ca="1" si="70"/>
        <v>0</v>
      </c>
      <c r="P181" s="512">
        <f t="shared" ca="1" si="46"/>
        <v>0</v>
      </c>
    </row>
    <row r="182" spans="1:16" s="280" customFormat="1" ht="16.2" thickBot="1" x14ac:dyDescent="0.35">
      <c r="C182" s="511" t="s">
        <v>789</v>
      </c>
      <c r="E182" s="509">
        <f t="shared" ref="E182:O182" ca="1" si="71">IFERROR(E179/(E36/E37*E29),0)</f>
        <v>0</v>
      </c>
      <c r="F182" s="509">
        <f t="shared" ca="1" si="71"/>
        <v>0</v>
      </c>
      <c r="G182" s="509">
        <f t="shared" ca="1" si="71"/>
        <v>0</v>
      </c>
      <c r="H182" s="509">
        <f t="shared" ca="1" si="71"/>
        <v>0</v>
      </c>
      <c r="I182" s="509">
        <f t="shared" ca="1" si="71"/>
        <v>0</v>
      </c>
      <c r="J182" s="509">
        <f t="shared" ca="1" si="71"/>
        <v>0</v>
      </c>
      <c r="K182" s="509">
        <f t="shared" ca="1" si="71"/>
        <v>0</v>
      </c>
      <c r="L182" s="509">
        <f t="shared" ca="1" si="71"/>
        <v>0</v>
      </c>
      <c r="M182" s="509">
        <f t="shared" ca="1" si="71"/>
        <v>0</v>
      </c>
      <c r="N182" s="509">
        <f t="shared" ca="1" si="71"/>
        <v>0</v>
      </c>
      <c r="O182" s="509">
        <f t="shared" ca="1" si="71"/>
        <v>0</v>
      </c>
      <c r="P182" s="510">
        <f t="shared" ca="1" si="46"/>
        <v>0</v>
      </c>
    </row>
    <row r="185" spans="1:16" ht="18.600000000000001" thickBot="1" x14ac:dyDescent="0.4">
      <c r="A185" s="239" t="s">
        <v>796</v>
      </c>
      <c r="B185" s="240"/>
      <c r="C185" s="241"/>
    </row>
    <row r="186" spans="1:16" s="365" customFormat="1" ht="14.55" customHeight="1" x14ac:dyDescent="0.3">
      <c r="A186" s="1"/>
      <c r="B186" s="62"/>
      <c r="D186" s="394"/>
      <c r="E186" s="294">
        <v>0</v>
      </c>
      <c r="F186" s="294">
        <v>1</v>
      </c>
      <c r="G186" s="294">
        <v>2</v>
      </c>
      <c r="H186" s="294">
        <v>3</v>
      </c>
      <c r="I186" s="294">
        <v>4</v>
      </c>
      <c r="J186" s="294">
        <v>5</v>
      </c>
      <c r="K186" s="294">
        <v>6</v>
      </c>
      <c r="L186" s="294">
        <v>7</v>
      </c>
      <c r="M186" s="294">
        <v>8</v>
      </c>
      <c r="N186" s="294">
        <v>9</v>
      </c>
      <c r="O186" s="295">
        <v>10</v>
      </c>
      <c r="P186" s="481" t="s">
        <v>2</v>
      </c>
    </row>
    <row r="187" spans="1:16" s="365" customFormat="1" ht="14.55" hidden="1" customHeight="1" outlineLevel="1" x14ac:dyDescent="0.3">
      <c r="A187" s="1"/>
      <c r="B187" s="62"/>
      <c r="C187" s="433" t="s">
        <v>659</v>
      </c>
      <c r="D187" s="394"/>
      <c r="E187" s="347">
        <f ca="1">ROUND('D. Annual Schedule Tables'!E135*'B. Implementation Plan'!P41,0)</f>
        <v>155</v>
      </c>
      <c r="F187" s="347">
        <f ca="1">ROUND('D. Annual Schedule Tables'!F135*'B. Implementation Plan'!P41,0)</f>
        <v>159</v>
      </c>
      <c r="G187" s="347">
        <f ca="1">ROUND('D. Annual Schedule Tables'!G135*'B. Implementation Plan'!P41,0)</f>
        <v>163</v>
      </c>
      <c r="H187" s="347">
        <f ca="1">ROUND('D. Annual Schedule Tables'!H135*'B. Implementation Plan'!P41,0)</f>
        <v>167</v>
      </c>
      <c r="I187" s="347">
        <f ca="1">ROUND('D. Annual Schedule Tables'!I135*'B. Implementation Plan'!P41,0)</f>
        <v>171</v>
      </c>
      <c r="J187" s="347">
        <f ca="1">ROUND('D. Annual Schedule Tables'!J135*'B. Implementation Plan'!P41,0)</f>
        <v>175</v>
      </c>
      <c r="K187" s="347">
        <f ca="1">ROUND('D. Annual Schedule Tables'!K135*'B. Implementation Plan'!P41,0)</f>
        <v>179</v>
      </c>
      <c r="L187" s="347">
        <f ca="1">ROUND('D. Annual Schedule Tables'!L135*'B. Implementation Plan'!P41,0)</f>
        <v>183</v>
      </c>
      <c r="M187" s="347">
        <f ca="1">ROUND('D. Annual Schedule Tables'!M135*'B. Implementation Plan'!P41,0)</f>
        <v>187</v>
      </c>
      <c r="N187" s="347">
        <f ca="1">ROUND('D. Annual Schedule Tables'!N135*'B. Implementation Plan'!P41,0)</f>
        <v>190</v>
      </c>
      <c r="O187" s="369">
        <f ca="1">ROUND('D. Annual Schedule Tables'!O135*'B. Implementation Plan'!P41,0)</f>
        <v>194</v>
      </c>
      <c r="P187" s="434">
        <f t="shared" ref="P187:P188" ca="1" si="72">IF(O187=0,IF(N187=0,IF(M187=0,IF(L187=0,IF(K187=0,IF(J187=0,IF(I187=0,IF(H187=0,IF(G187=0,IF(F187=0,E187,F187),G187),H187),I187),J187),K187),L187),M187),N187),O187)</f>
        <v>194</v>
      </c>
    </row>
    <row r="188" spans="1:16" s="365" customFormat="1" ht="14.55" hidden="1" customHeight="1" outlineLevel="1" x14ac:dyDescent="0.3">
      <c r="A188" s="1"/>
      <c r="B188" s="62"/>
      <c r="C188" s="433" t="s">
        <v>660</v>
      </c>
      <c r="D188" s="394"/>
      <c r="E188" s="347">
        <f ca="1">E189-E187</f>
        <v>155</v>
      </c>
      <c r="F188" s="347">
        <f t="shared" ref="F188:O188" ca="1" si="73">F189-F187</f>
        <v>159</v>
      </c>
      <c r="G188" s="347">
        <f t="shared" ca="1" si="73"/>
        <v>163</v>
      </c>
      <c r="H188" s="347">
        <f t="shared" ca="1" si="73"/>
        <v>166</v>
      </c>
      <c r="I188" s="347">
        <f t="shared" ca="1" si="73"/>
        <v>170</v>
      </c>
      <c r="J188" s="347">
        <f t="shared" ca="1" si="73"/>
        <v>174</v>
      </c>
      <c r="K188" s="347">
        <f t="shared" ca="1" si="73"/>
        <v>178</v>
      </c>
      <c r="L188" s="347">
        <f t="shared" ca="1" si="73"/>
        <v>182</v>
      </c>
      <c r="M188" s="347">
        <f t="shared" ca="1" si="73"/>
        <v>186</v>
      </c>
      <c r="N188" s="347">
        <f t="shared" ca="1" si="73"/>
        <v>190</v>
      </c>
      <c r="O188" s="369">
        <f t="shared" ca="1" si="73"/>
        <v>194</v>
      </c>
      <c r="P188" s="434">
        <f t="shared" ca="1" si="72"/>
        <v>194</v>
      </c>
    </row>
    <row r="189" spans="1:16" s="1" customFormat="1" collapsed="1" x14ac:dyDescent="0.3">
      <c r="C189" s="1" t="s">
        <v>636</v>
      </c>
      <c r="E189" s="324">
        <f ca="1">'D. Annual Schedule Tables'!E135</f>
        <v>310</v>
      </c>
      <c r="F189" s="324">
        <f ca="1">'D. Annual Schedule Tables'!F135</f>
        <v>318</v>
      </c>
      <c r="G189" s="324">
        <f ca="1">'D. Annual Schedule Tables'!G135</f>
        <v>326</v>
      </c>
      <c r="H189" s="324">
        <f ca="1">'D. Annual Schedule Tables'!H135</f>
        <v>333</v>
      </c>
      <c r="I189" s="324">
        <f ca="1">'D. Annual Schedule Tables'!I135</f>
        <v>341</v>
      </c>
      <c r="J189" s="324">
        <f ca="1">'D. Annual Schedule Tables'!J135</f>
        <v>349</v>
      </c>
      <c r="K189" s="324">
        <f ca="1">'D. Annual Schedule Tables'!K135</f>
        <v>357</v>
      </c>
      <c r="L189" s="324">
        <f ca="1">'D. Annual Schedule Tables'!L135</f>
        <v>365</v>
      </c>
      <c r="M189" s="324">
        <f ca="1">'D. Annual Schedule Tables'!M135</f>
        <v>373</v>
      </c>
      <c r="N189" s="324">
        <f ca="1">'D. Annual Schedule Tables'!N135</f>
        <v>380</v>
      </c>
      <c r="O189" s="367">
        <f ca="1">'D. Annual Schedule Tables'!O135</f>
        <v>388</v>
      </c>
      <c r="P189" s="435">
        <f ca="1">IF(O189=0,IF(N189=0,IF(M189=0,IF(L189=0,IF(K189=0,IF(J189=0,IF(I189=0,IF(H189=0,IF(G189=0,IF(F189=0,E189,F189),G189),H189),I189),J189),K189),L189),M189),N189),O189)</f>
        <v>388</v>
      </c>
    </row>
    <row r="190" spans="1:16" s="365" customFormat="1" ht="14.55" hidden="1" customHeight="1" outlineLevel="1" x14ac:dyDescent="0.3">
      <c r="A190" s="1"/>
      <c r="B190" s="62"/>
      <c r="C190" s="396" t="s">
        <v>662</v>
      </c>
      <c r="D190" s="394"/>
      <c r="E190" s="15">
        <f ca="1">IFERROR('D. Annual Schedule Tables'!E29/E189,0)</f>
        <v>27.8</v>
      </c>
      <c r="F190" s="15">
        <f ca="1">IFERROR('D. Annual Schedule Tables'!F29/F189,0)</f>
        <v>27.808176100628931</v>
      </c>
      <c r="G190" s="15">
        <f ca="1">IFERROR('D. Annual Schedule Tables'!G29/G189,0)</f>
        <v>27.815950920245399</v>
      </c>
      <c r="H190" s="15">
        <f ca="1">IFERROR('D. Annual Schedule Tables'!H29/H189,0)</f>
        <v>27.906906906906908</v>
      </c>
      <c r="I190" s="15">
        <f ca="1">IFERROR('D. Annual Schedule Tables'!I29/I189,0)</f>
        <v>27.912023460410555</v>
      </c>
      <c r="J190" s="15">
        <f ca="1">IFERROR('D. Annual Schedule Tables'!J29/J189,0)</f>
        <v>27.916905444126076</v>
      </c>
      <c r="K190" s="15">
        <f ca="1">IFERROR('D. Annual Schedule Tables'!K29/K189,0)</f>
        <v>27.921568627450981</v>
      </c>
      <c r="L190" s="15">
        <f ca="1">IFERROR('D. Annual Schedule Tables'!L29/L189,0)</f>
        <v>27.926027397260274</v>
      </c>
      <c r="M190" s="15">
        <f ca="1">IFERROR('D. Annual Schedule Tables'!M29/M189,0)</f>
        <v>27.930294906166221</v>
      </c>
      <c r="N190" s="15">
        <f ca="1">IFERROR('D. Annual Schedule Tables'!N29/N189,0)</f>
        <v>28.007894736842104</v>
      </c>
      <c r="O190" s="366">
        <f ca="1">IFERROR('D. Annual Schedule Tables'!O29/O189,0)</f>
        <v>28.010309278350515</v>
      </c>
      <c r="P190" s="434">
        <f t="shared" ref="P190:P193" ca="1" si="74">IF(O190=0,IF(N190=0,IF(M190=0,IF(L190=0,IF(K190=0,IF(J190=0,IF(I190=0,IF(H190=0,IF(G190=0,IF(F190=0,E190,F190),G190),H190),I190),J190),K190),L190),M190),N190),O190)</f>
        <v>28.010309278350515</v>
      </c>
    </row>
    <row r="191" spans="1:16" s="365" customFormat="1" ht="14.55" hidden="1" customHeight="1" outlineLevel="1" x14ac:dyDescent="0.3">
      <c r="A191" s="1"/>
      <c r="B191" s="62"/>
      <c r="C191" s="396" t="s">
        <v>663</v>
      </c>
      <c r="D191" s="394"/>
      <c r="E191" s="15">
        <f ca="1">IFERROR('D. Annual Schedule Tables'!E36/E189,0)</f>
        <v>3.0903225806451613</v>
      </c>
      <c r="F191" s="15">
        <f ca="1">IFERROR('D. Annual Schedule Tables'!F36/F189,0)</f>
        <v>3.091194968553459</v>
      </c>
      <c r="G191" s="15">
        <f ca="1">IFERROR('D. Annual Schedule Tables'!G36/G189,0)</f>
        <v>3.0920245398773005</v>
      </c>
      <c r="H191" s="15">
        <f ca="1">IFERROR('D. Annual Schedule Tables'!H36/H189,0)</f>
        <v>3.1021021021021022</v>
      </c>
      <c r="I191" s="15">
        <f ca="1">IFERROR('D. Annual Schedule Tables'!I36/I189,0)</f>
        <v>3.1026392961876832</v>
      </c>
      <c r="J191" s="15">
        <f ca="1">IFERROR('D. Annual Schedule Tables'!J36/J189,0)</f>
        <v>3.1031518624641832</v>
      </c>
      <c r="K191" s="15">
        <f ca="1">IFERROR('D. Annual Schedule Tables'!K36/K189,0)</f>
        <v>3.1036414565826331</v>
      </c>
      <c r="L191" s="15">
        <f ca="1">IFERROR('D. Annual Schedule Tables'!L36/L189,0)</f>
        <v>3.1041095890410957</v>
      </c>
      <c r="M191" s="15">
        <f ca="1">IFERROR('D. Annual Schedule Tables'!M36/M189,0)</f>
        <v>3.1045576407506701</v>
      </c>
      <c r="N191" s="15">
        <f ca="1">IFERROR('D. Annual Schedule Tables'!N36/N189,0)</f>
        <v>3.1131578947368421</v>
      </c>
      <c r="O191" s="366">
        <f ca="1">IFERROR('D. Annual Schedule Tables'!O36/O189,0)</f>
        <v>3.1134020618556701</v>
      </c>
      <c r="P191" s="434">
        <f t="shared" ca="1" si="74"/>
        <v>3.1134020618556701</v>
      </c>
    </row>
    <row r="192" spans="1:16" s="365" customFormat="1" ht="14.55" hidden="1" customHeight="1" outlineLevel="1" x14ac:dyDescent="0.3">
      <c r="A192" s="1"/>
      <c r="B192" s="62"/>
      <c r="C192" s="420" t="s">
        <v>664</v>
      </c>
      <c r="D192" s="394"/>
      <c r="E192" s="15">
        <f ca="1">IFERROR('D. Annual Schedule Tables'!E43/E189,0)</f>
        <v>30.883870967741935</v>
      </c>
      <c r="F192" s="15">
        <f ca="1">IFERROR('D. Annual Schedule Tables'!F43/F189,0)</f>
        <v>30.89308176100629</v>
      </c>
      <c r="G192" s="15">
        <f ca="1">IFERROR('D. Annual Schedule Tables'!G43/G189,0)</f>
        <v>30.901840490797547</v>
      </c>
      <c r="H192" s="15">
        <f ca="1">IFERROR('D. Annual Schedule Tables'!H43/H189,0)</f>
        <v>31.003003003003002</v>
      </c>
      <c r="I192" s="15">
        <f ca="1">IFERROR('D. Annual Schedule Tables'!I43/I189,0)</f>
        <v>31.008797653958943</v>
      </c>
      <c r="J192" s="15">
        <f ca="1">IFERROR('D. Annual Schedule Tables'!J43/J189,0)</f>
        <v>31.01432664756447</v>
      </c>
      <c r="K192" s="15">
        <f ca="1">IFERROR('D. Annual Schedule Tables'!K43/K189,0)</f>
        <v>31.019607843137255</v>
      </c>
      <c r="L192" s="15">
        <f ca="1">IFERROR('D. Annual Schedule Tables'!L43/L189,0)</f>
        <v>31.024657534246575</v>
      </c>
      <c r="M192" s="15">
        <f ca="1">IFERROR('D. Annual Schedule Tables'!M43/M189,0)</f>
        <v>31.029490616621985</v>
      </c>
      <c r="N192" s="15">
        <f ca="1">IFERROR('D. Annual Schedule Tables'!N43/N189,0)</f>
        <v>31.11578947368421</v>
      </c>
      <c r="O192" s="366">
        <f ca="1">IFERROR('D. Annual Schedule Tables'!O43/O189,0)</f>
        <v>31.118556701030929</v>
      </c>
      <c r="P192" s="434">
        <f t="shared" ca="1" si="74"/>
        <v>31.118556701030929</v>
      </c>
    </row>
    <row r="193" spans="2:16" s="1" customFormat="1" ht="14.55" customHeight="1" collapsed="1" x14ac:dyDescent="0.3">
      <c r="B193" s="62"/>
      <c r="C193" s="1" t="s">
        <v>665</v>
      </c>
      <c r="D193" s="394"/>
      <c r="E193" s="324">
        <f ca="1">IFERROR('D. Annual Schedule Tables'!E15/E189,0)</f>
        <v>61.774193548387096</v>
      </c>
      <c r="F193" s="324">
        <f ca="1">IFERROR('D. Annual Schedule Tables'!F15/F189,0)</f>
        <v>61.79245283018868</v>
      </c>
      <c r="G193" s="324">
        <f ca="1">IFERROR('D. Annual Schedule Tables'!G15/G189,0)</f>
        <v>61.809815950920246</v>
      </c>
      <c r="H193" s="324">
        <f ca="1">IFERROR('D. Annual Schedule Tables'!H15/H189,0)</f>
        <v>62.012012012012015</v>
      </c>
      <c r="I193" s="324">
        <f ca="1">IFERROR('D. Annual Schedule Tables'!I15/I189,0)</f>
        <v>62.023460410557185</v>
      </c>
      <c r="J193" s="324">
        <f ca="1">IFERROR('D. Annual Schedule Tables'!J15/J189,0)</f>
        <v>62.034383954154727</v>
      </c>
      <c r="K193" s="324">
        <f ca="1">IFERROR('D. Annual Schedule Tables'!K15/K189,0)</f>
        <v>62.044817927170868</v>
      </c>
      <c r="L193" s="324">
        <f ca="1">IFERROR('D. Annual Schedule Tables'!L15/L189,0)</f>
        <v>62.054794520547944</v>
      </c>
      <c r="M193" s="324">
        <f ca="1">IFERROR('D. Annual Schedule Tables'!M15/M189,0)</f>
        <v>62.064343163538872</v>
      </c>
      <c r="N193" s="324">
        <f ca="1">IFERROR('D. Annual Schedule Tables'!N15/N189,0)</f>
        <v>62.236842105263158</v>
      </c>
      <c r="O193" s="367">
        <f ca="1">IFERROR('D. Annual Schedule Tables'!O15/O189,0)</f>
        <v>62.242268041237111</v>
      </c>
      <c r="P193" s="435">
        <f t="shared" ca="1" si="74"/>
        <v>62.242268041237111</v>
      </c>
    </row>
    <row r="194" spans="2:16" s="1" customFormat="1" ht="14.55" hidden="1" customHeight="1" outlineLevel="1" x14ac:dyDescent="0.3">
      <c r="B194" s="62"/>
      <c r="C194" s="396" t="s">
        <v>748</v>
      </c>
      <c r="D194" s="394"/>
      <c r="E194" s="507">
        <f ca="1">IFERROR('D. Annual Schedule Tables'!E81/E189,0)</f>
        <v>1.8677419354838709</v>
      </c>
      <c r="F194" s="507">
        <f ca="1">IFERROR('D. Annual Schedule Tables'!F81/F189,0)</f>
        <v>1.8679245283018868</v>
      </c>
      <c r="G194" s="507">
        <f ca="1">IFERROR('D. Annual Schedule Tables'!G81/G189,0)</f>
        <v>1.8711656441717792</v>
      </c>
      <c r="H194" s="507">
        <f ca="1">IFERROR('D. Annual Schedule Tables'!H81/H189,0)</f>
        <v>1.8768768768768769</v>
      </c>
      <c r="I194" s="507">
        <f ca="1">IFERROR('D. Annual Schedule Tables'!I81/I189,0)</f>
        <v>1.8797653958944283</v>
      </c>
      <c r="J194" s="507">
        <f ca="1">IFERROR('D. Annual Schedule Tables'!J81/J189,0)</f>
        <v>1.8825214899713467</v>
      </c>
      <c r="K194" s="507">
        <f ca="1">IFERROR('D. Annual Schedule Tables'!K81/K189,0)</f>
        <v>1.8823529411764706</v>
      </c>
      <c r="L194" s="507">
        <f ca="1">IFERROR('D. Annual Schedule Tables'!L81/L189,0)</f>
        <v>1.8849315068493151</v>
      </c>
      <c r="M194" s="507">
        <f ca="1">IFERROR('D. Annual Schedule Tables'!M81/M189,0)</f>
        <v>1.8873994638069704</v>
      </c>
      <c r="N194" s="507">
        <f ca="1">IFERROR('D. Annual Schedule Tables'!N81/N189,0)</f>
        <v>1.8921052631578947</v>
      </c>
      <c r="O194" s="582">
        <f ca="1">IFERROR('D. Annual Schedule Tables'!O81/O189,0)</f>
        <v>1.8943298969072164</v>
      </c>
      <c r="P194" s="474">
        <f ca="1">IF(O194=0,IF(N194=0,IF(M194=0,IF(L194=0,IF(K194=0,IF(J194=0,IF(I194=0,IF(H194=0,IF(G194=0,IF(F194=0,E194,F194),G194),H194),I194),J194),K194),L194),M194),N194),O194)</f>
        <v>1.8943298969072164</v>
      </c>
    </row>
    <row r="195" spans="2:16" s="1" customFormat="1" ht="14.55" hidden="1" customHeight="1" outlineLevel="1" x14ac:dyDescent="0.3">
      <c r="B195" s="62"/>
      <c r="C195" s="396" t="s">
        <v>749</v>
      </c>
      <c r="D195" s="394"/>
      <c r="E195" s="507">
        <f ca="1">IFERROR('D. Annual Schedule Tables'!E82/E189,0)</f>
        <v>0.13225806451612904</v>
      </c>
      <c r="F195" s="507">
        <f ca="1">IFERROR('D. Annual Schedule Tables'!F82/F189,0)</f>
        <v>0.12893081761006289</v>
      </c>
      <c r="G195" s="507">
        <f ca="1">IFERROR('D. Annual Schedule Tables'!G82/G189,0)</f>
        <v>0.12576687116564417</v>
      </c>
      <c r="H195" s="507">
        <f ca="1">IFERROR('D. Annual Schedule Tables'!H82/H189,0)</f>
        <v>0.12312312312312312</v>
      </c>
      <c r="I195" s="507">
        <f ca="1">IFERROR('D. Annual Schedule Tables'!I82/I189,0)</f>
        <v>0.12023460410557185</v>
      </c>
      <c r="J195" s="507">
        <f ca="1">IFERROR('D. Annual Schedule Tables'!J82/J189,0)</f>
        <v>0.1174785100286533</v>
      </c>
      <c r="K195" s="507">
        <f ca="1">IFERROR('D. Annual Schedule Tables'!K82/K189,0)</f>
        <v>0.11484593837535013</v>
      </c>
      <c r="L195" s="507">
        <f ca="1">IFERROR('D. Annual Schedule Tables'!L82/L189,0)</f>
        <v>0.11232876712328767</v>
      </c>
      <c r="M195" s="507">
        <f ca="1">IFERROR('D. Annual Schedule Tables'!M82/M189,0)</f>
        <v>0.10991957104557641</v>
      </c>
      <c r="N195" s="507">
        <f ca="1">IFERROR('D. Annual Schedule Tables'!N82/N189,0)</f>
        <v>0.10789473684210527</v>
      </c>
      <c r="O195" s="582">
        <f ca="1">IFERROR('D. Annual Schedule Tables'!O82/O189,0)</f>
        <v>0.1056701030927835</v>
      </c>
      <c r="P195" s="474">
        <f ca="1">IF(O195=0,IF(N195=0,IF(M195=0,IF(L195=0,IF(K195=0,IF(J195=0,IF(I195=0,IF(H195=0,IF(G195=0,IF(F195=0,E195,F195),G195),H195),I195),J195),K195),L195),M195),N195),O195)</f>
        <v>0.1056701030927835</v>
      </c>
    </row>
    <row r="196" spans="2:16" s="1" customFormat="1" ht="14.55" hidden="1" customHeight="1" outlineLevel="1" x14ac:dyDescent="0.3">
      <c r="B196" s="62"/>
      <c r="C196" s="396" t="s">
        <v>750</v>
      </c>
      <c r="D196" s="394"/>
      <c r="E196" s="507">
        <f ca="1">IFERROR('D. Annual Schedule Tables'!E83/E189,0)</f>
        <v>0</v>
      </c>
      <c r="F196" s="507">
        <f ca="1">IFERROR('D. Annual Schedule Tables'!F83/F189,0)</f>
        <v>0</v>
      </c>
      <c r="G196" s="507">
        <f ca="1">IFERROR('D. Annual Schedule Tables'!G83/G189,0)</f>
        <v>0</v>
      </c>
      <c r="H196" s="507">
        <f ca="1">IFERROR('D. Annual Schedule Tables'!H83/H189,0)</f>
        <v>0</v>
      </c>
      <c r="I196" s="507">
        <f ca="1">IFERROR('D. Annual Schedule Tables'!I83/I189,0)</f>
        <v>0</v>
      </c>
      <c r="J196" s="507">
        <f ca="1">IFERROR('D. Annual Schedule Tables'!J83/J189,0)</f>
        <v>0</v>
      </c>
      <c r="K196" s="507">
        <f ca="1">IFERROR('D. Annual Schedule Tables'!K83/K189,0)</f>
        <v>0</v>
      </c>
      <c r="L196" s="507">
        <f ca="1">IFERROR('D. Annual Schedule Tables'!L83/L189,0)</f>
        <v>0</v>
      </c>
      <c r="M196" s="507">
        <f ca="1">IFERROR('D. Annual Schedule Tables'!M83/M189,0)</f>
        <v>0</v>
      </c>
      <c r="N196" s="507">
        <f ca="1">IFERROR('D. Annual Schedule Tables'!N83/N189,0)</f>
        <v>0</v>
      </c>
      <c r="O196" s="582">
        <f ca="1">IFERROR('D. Annual Schedule Tables'!O83/O189,0)</f>
        <v>0</v>
      </c>
      <c r="P196" s="474">
        <f ca="1">IF(O196=0,IF(N196=0,IF(M196=0,IF(L196=0,IF(K196=0,IF(J196=0,IF(I196=0,IF(H196=0,IF(G196=0,IF(F196=0,E196,F196),G196),H196),I196),J196),K196),L196),M196),N196),O196)</f>
        <v>0</v>
      </c>
    </row>
    <row r="197" spans="2:16" s="1" customFormat="1" collapsed="1" x14ac:dyDescent="0.3">
      <c r="C197" s="1" t="s">
        <v>661</v>
      </c>
      <c r="E197" s="506">
        <f ca="1">IFERROR('D. Annual Schedule Tables'!E84/E189,0)</f>
        <v>2</v>
      </c>
      <c r="F197" s="506">
        <f ca="1">IFERROR('D. Annual Schedule Tables'!F84/F189,0)</f>
        <v>1.9968553459119496</v>
      </c>
      <c r="G197" s="506">
        <f ca="1">IFERROR('D. Annual Schedule Tables'!G84/G189,0)</f>
        <v>1.9969325153374233</v>
      </c>
      <c r="H197" s="506">
        <f ca="1">IFERROR('D. Annual Schedule Tables'!H84/H189,0)</f>
        <v>2</v>
      </c>
      <c r="I197" s="506">
        <f ca="1">IFERROR('D. Annual Schedule Tables'!I84/I189,0)</f>
        <v>2</v>
      </c>
      <c r="J197" s="506">
        <f ca="1">IFERROR('D. Annual Schedule Tables'!J84/J189,0)</f>
        <v>2</v>
      </c>
      <c r="K197" s="506">
        <f ca="1">IFERROR('D. Annual Schedule Tables'!K84/K189,0)</f>
        <v>1.9971988795518207</v>
      </c>
      <c r="L197" s="506">
        <f ca="1">IFERROR('D. Annual Schedule Tables'!L84/L189,0)</f>
        <v>1.9972602739726026</v>
      </c>
      <c r="M197" s="506">
        <f ca="1">IFERROR('D. Annual Schedule Tables'!M84/M189,0)</f>
        <v>1.9973190348525469</v>
      </c>
      <c r="N197" s="506">
        <f ca="1">IFERROR('D. Annual Schedule Tables'!N84/N189,0)</f>
        <v>2</v>
      </c>
      <c r="O197" s="583">
        <f ca="1">IFERROR('D. Annual Schedule Tables'!O84/O189,0)</f>
        <v>2</v>
      </c>
      <c r="P197" s="474">
        <f t="shared" ref="P197:P204" ca="1" si="75">IF(O197=0,IF(N197=0,IF(M197=0,IF(L197=0,IF(K197=0,IF(J197=0,IF(I197=0,IF(H197=0,IF(G197=0,IF(F197=0,E197,F197),G197),H197),I197),J197),K197),L197),M197),N197),O197)</f>
        <v>2</v>
      </c>
    </row>
    <row r="198" spans="2:16" hidden="1" outlineLevel="1" x14ac:dyDescent="0.3">
      <c r="C198" s="396" t="s">
        <v>666</v>
      </c>
      <c r="E198" s="327">
        <f ca="1">IFERROR('D. Annual Schedule Tables'!E62/E189,0)</f>
        <v>3.7322580645161292</v>
      </c>
      <c r="F198" s="327">
        <f ca="1">IFERROR('D. Annual Schedule Tables'!F62/F189,0)</f>
        <v>3.7358490566037736</v>
      </c>
      <c r="G198" s="327">
        <f ca="1">IFERROR('D. Annual Schedule Tables'!G62/G189,0)</f>
        <v>3.7392638036809815</v>
      </c>
      <c r="H198" s="327">
        <f ca="1">IFERROR('D. Annual Schedule Tables'!H62/H189,0)</f>
        <v>3.7537537537537538</v>
      </c>
      <c r="I198" s="327">
        <f ca="1">IFERROR('D. Annual Schedule Tables'!I62/I189,0)</f>
        <v>3.7595307917888565</v>
      </c>
      <c r="J198" s="327">
        <f ca="1">IFERROR('D. Annual Schedule Tables'!J62/J189,0)</f>
        <v>3.7621776504297992</v>
      </c>
      <c r="K198" s="327">
        <f ca="1">IFERROR('D. Annual Schedule Tables'!K62/K189,0)</f>
        <v>3.7647058823529411</v>
      </c>
      <c r="L198" s="327">
        <f ca="1">IFERROR('D. Annual Schedule Tables'!L62/L189,0)</f>
        <v>3.7671232876712328</v>
      </c>
      <c r="M198" s="327">
        <f ca="1">IFERROR('D. Annual Schedule Tables'!M62/M189,0)</f>
        <v>3.772117962466488</v>
      </c>
      <c r="N198" s="327">
        <f ca="1">IFERROR('D. Annual Schedule Tables'!N62/N189,0)</f>
        <v>3.7842105263157895</v>
      </c>
      <c r="O198" s="584">
        <f ca="1">IFERROR('D. Annual Schedule Tables'!O62/O189,0)</f>
        <v>3.786082474226804</v>
      </c>
      <c r="P198" s="467">
        <f t="shared" ca="1" si="75"/>
        <v>3.786082474226804</v>
      </c>
    </row>
    <row r="199" spans="2:16" hidden="1" outlineLevel="1" x14ac:dyDescent="0.3">
      <c r="C199" s="396" t="s">
        <v>667</v>
      </c>
      <c r="E199" s="327">
        <f ca="1">IFERROR('D. Annual Schedule Tables'!E63/E189,0)</f>
        <v>0.13225806451612904</v>
      </c>
      <c r="F199" s="327">
        <f ca="1">IFERROR('D. Annual Schedule Tables'!F63/F189,0)</f>
        <v>0.12893081761006289</v>
      </c>
      <c r="G199" s="327">
        <f ca="1">IFERROR('D. Annual Schedule Tables'!G63/G189,0)</f>
        <v>0.12576687116564417</v>
      </c>
      <c r="H199" s="327">
        <f ca="1">IFERROR('D. Annual Schedule Tables'!H63/H189,0)</f>
        <v>0.12312312312312312</v>
      </c>
      <c r="I199" s="327">
        <f ca="1">IFERROR('D. Annual Schedule Tables'!I63/I189,0)</f>
        <v>0.12023460410557185</v>
      </c>
      <c r="J199" s="327">
        <f ca="1">IFERROR('D. Annual Schedule Tables'!J63/J189,0)</f>
        <v>0.1174785100286533</v>
      </c>
      <c r="K199" s="327">
        <f ca="1">IFERROR('D. Annual Schedule Tables'!K63/K189,0)</f>
        <v>0.11484593837535013</v>
      </c>
      <c r="L199" s="327">
        <f ca="1">IFERROR('D. Annual Schedule Tables'!L63/L189,0)</f>
        <v>0.11232876712328767</v>
      </c>
      <c r="M199" s="327">
        <f ca="1">IFERROR('D. Annual Schedule Tables'!M63/M189,0)</f>
        <v>0.10991957104557641</v>
      </c>
      <c r="N199" s="327">
        <f ca="1">IFERROR('D. Annual Schedule Tables'!N63/N189,0)</f>
        <v>0.10789473684210527</v>
      </c>
      <c r="O199" s="584">
        <f ca="1">IFERROR('D. Annual Schedule Tables'!O63/O189,0)</f>
        <v>0.1056701030927835</v>
      </c>
      <c r="P199" s="467">
        <f t="shared" ca="1" si="75"/>
        <v>0.1056701030927835</v>
      </c>
    </row>
    <row r="200" spans="2:16" hidden="1" outlineLevel="1" x14ac:dyDescent="0.3">
      <c r="C200" s="396" t="s">
        <v>668</v>
      </c>
      <c r="E200" s="327">
        <f ca="1">IFERROR('D. Annual Schedule Tables'!E64/E189,0)</f>
        <v>0</v>
      </c>
      <c r="F200" s="327">
        <f ca="1">IFERROR('D. Annual Schedule Tables'!F64/F189,0)</f>
        <v>0</v>
      </c>
      <c r="G200" s="327">
        <f ca="1">IFERROR('D. Annual Schedule Tables'!G64/G189,0)</f>
        <v>0</v>
      </c>
      <c r="H200" s="327">
        <f ca="1">IFERROR('D. Annual Schedule Tables'!H64/H189,0)</f>
        <v>0</v>
      </c>
      <c r="I200" s="327">
        <f ca="1">IFERROR('D. Annual Schedule Tables'!I64/I189,0)</f>
        <v>0</v>
      </c>
      <c r="J200" s="327">
        <f ca="1">IFERROR('D. Annual Schedule Tables'!J64/J189,0)</f>
        <v>0</v>
      </c>
      <c r="K200" s="327">
        <f ca="1">IFERROR('D. Annual Schedule Tables'!K64/K189,0)</f>
        <v>0</v>
      </c>
      <c r="L200" s="327">
        <f ca="1">IFERROR('D. Annual Schedule Tables'!L64/L189,0)</f>
        <v>0</v>
      </c>
      <c r="M200" s="327">
        <f ca="1">IFERROR('D. Annual Schedule Tables'!M64/M189,0)</f>
        <v>0</v>
      </c>
      <c r="N200" s="327">
        <f ca="1">IFERROR('D. Annual Schedule Tables'!N64/N189,0)</f>
        <v>0</v>
      </c>
      <c r="O200" s="584">
        <f ca="1">IFERROR('D. Annual Schedule Tables'!O64/O189,0)</f>
        <v>0</v>
      </c>
      <c r="P200" s="467">
        <f t="shared" ca="1" si="75"/>
        <v>0</v>
      </c>
    </row>
    <row r="201" spans="2:16" s="1" customFormat="1" collapsed="1" x14ac:dyDescent="0.3">
      <c r="C201" s="409" t="s">
        <v>669</v>
      </c>
      <c r="E201" s="506">
        <f ca="1">IFERROR('D. Annual Schedule Tables'!E65/E189,0)</f>
        <v>3.8645161290322583</v>
      </c>
      <c r="F201" s="506">
        <f ca="1">IFERROR('D. Annual Schedule Tables'!F65/F189,0)</f>
        <v>3.8647798742138364</v>
      </c>
      <c r="G201" s="506">
        <f ca="1">IFERROR('D. Annual Schedule Tables'!G65/G189,0)</f>
        <v>3.8650306748466257</v>
      </c>
      <c r="H201" s="506">
        <f ca="1">IFERROR('D. Annual Schedule Tables'!H65/H189,0)</f>
        <v>3.8768768768768771</v>
      </c>
      <c r="I201" s="506">
        <f ca="1">IFERROR('D. Annual Schedule Tables'!I65/I189,0)</f>
        <v>3.8797653958944283</v>
      </c>
      <c r="J201" s="506">
        <f ca="1">IFERROR('D. Annual Schedule Tables'!J65/J189,0)</f>
        <v>3.8796561604584525</v>
      </c>
      <c r="K201" s="506">
        <f ca="1">IFERROR('D. Annual Schedule Tables'!K65/K189,0)</f>
        <v>3.8795518207282913</v>
      </c>
      <c r="L201" s="506">
        <f ca="1">IFERROR('D. Annual Schedule Tables'!L65/L189,0)</f>
        <v>3.8794520547945206</v>
      </c>
      <c r="M201" s="506">
        <f ca="1">IFERROR('D. Annual Schedule Tables'!M65/M189,0)</f>
        <v>3.8820375335120643</v>
      </c>
      <c r="N201" s="506">
        <f ca="1">IFERROR('D. Annual Schedule Tables'!N65/N189,0)</f>
        <v>3.892105263157895</v>
      </c>
      <c r="O201" s="583">
        <f ca="1">IFERROR('D. Annual Schedule Tables'!O65/O189,0)</f>
        <v>3.8917525773195876</v>
      </c>
      <c r="P201" s="474">
        <f t="shared" ca="1" si="75"/>
        <v>3.8917525773195876</v>
      </c>
    </row>
    <row r="202" spans="2:16" s="1" customFormat="1" hidden="1" outlineLevel="1" x14ac:dyDescent="0.3">
      <c r="C202" s="433" t="s">
        <v>725</v>
      </c>
      <c r="E202" s="507">
        <f ca="1">IFERROR('D. Annual Schedule Tables'!E100/E189,0)</f>
        <v>1.8677419354838709</v>
      </c>
      <c r="F202" s="507">
        <f ca="1">IFERROR('D. Annual Schedule Tables'!F100/F189,0)</f>
        <v>1.8679245283018868</v>
      </c>
      <c r="G202" s="507">
        <f ca="1">IFERROR('D. Annual Schedule Tables'!G100/G189,0)</f>
        <v>1.8711656441717792</v>
      </c>
      <c r="H202" s="507">
        <f ca="1">IFERROR('D. Annual Schedule Tables'!H100/H189,0)</f>
        <v>1.8768768768768769</v>
      </c>
      <c r="I202" s="507">
        <f ca="1">IFERROR('D. Annual Schedule Tables'!I100/I189,0)</f>
        <v>1.8797653958944283</v>
      </c>
      <c r="J202" s="507">
        <f ca="1">IFERROR('D. Annual Schedule Tables'!J100/J189,0)</f>
        <v>1.8825214899713467</v>
      </c>
      <c r="K202" s="507">
        <f ca="1">IFERROR('D. Annual Schedule Tables'!K100/K189,0)</f>
        <v>1.8823529411764706</v>
      </c>
      <c r="L202" s="507">
        <f ca="1">IFERROR('D. Annual Schedule Tables'!L100/L189,0)</f>
        <v>1.8849315068493151</v>
      </c>
      <c r="M202" s="507">
        <f ca="1">IFERROR('D. Annual Schedule Tables'!M100/M189,0)</f>
        <v>1.8873994638069704</v>
      </c>
      <c r="N202" s="507">
        <f ca="1">IFERROR('D. Annual Schedule Tables'!N100/N189,0)</f>
        <v>1.8921052631578947</v>
      </c>
      <c r="O202" s="582">
        <f ca="1">IFERROR('D. Annual Schedule Tables'!O100/O189,0)</f>
        <v>1.8943298969072164</v>
      </c>
      <c r="P202" s="467">
        <f t="shared" ca="1" si="75"/>
        <v>1.8943298969072164</v>
      </c>
    </row>
    <row r="203" spans="2:16" s="1" customFormat="1" hidden="1" outlineLevel="1" x14ac:dyDescent="0.3">
      <c r="C203" s="433" t="s">
        <v>670</v>
      </c>
      <c r="E203" s="507">
        <f ca="1">IFERROR('D. Annual Schedule Tables'!E101/E189,0)</f>
        <v>0.13225806451612904</v>
      </c>
      <c r="F203" s="507">
        <f ca="1">IFERROR('D. Annual Schedule Tables'!F101/F189,0)</f>
        <v>0.12893081761006289</v>
      </c>
      <c r="G203" s="507">
        <f ca="1">IFERROR('D. Annual Schedule Tables'!G101/G189,0)</f>
        <v>0.12576687116564417</v>
      </c>
      <c r="H203" s="507">
        <f ca="1">IFERROR('D. Annual Schedule Tables'!H101/H189,0)</f>
        <v>0.12312312312312312</v>
      </c>
      <c r="I203" s="507">
        <f ca="1">IFERROR('D. Annual Schedule Tables'!I101/I189,0)</f>
        <v>0.12023460410557185</v>
      </c>
      <c r="J203" s="507">
        <f ca="1">IFERROR('D. Annual Schedule Tables'!J101/J189,0)</f>
        <v>0.1174785100286533</v>
      </c>
      <c r="K203" s="507">
        <f ca="1">IFERROR('D. Annual Schedule Tables'!K101/K189,0)</f>
        <v>0.11484593837535013</v>
      </c>
      <c r="L203" s="507">
        <f ca="1">IFERROR('D. Annual Schedule Tables'!L101/L189,0)</f>
        <v>0.11232876712328767</v>
      </c>
      <c r="M203" s="507">
        <f ca="1">IFERROR('D. Annual Schedule Tables'!M101/M189,0)</f>
        <v>0.10991957104557641</v>
      </c>
      <c r="N203" s="507">
        <f ca="1">IFERROR('D. Annual Schedule Tables'!N101/N189,0)</f>
        <v>0.10789473684210527</v>
      </c>
      <c r="O203" s="582">
        <f ca="1">IFERROR('D. Annual Schedule Tables'!O101/O189,0)</f>
        <v>0.1056701030927835</v>
      </c>
      <c r="P203" s="467">
        <f t="shared" ca="1" si="75"/>
        <v>0.1056701030927835</v>
      </c>
    </row>
    <row r="204" spans="2:16" s="1" customFormat="1" hidden="1" outlineLevel="1" x14ac:dyDescent="0.3">
      <c r="C204" s="433" t="s">
        <v>671</v>
      </c>
      <c r="E204" s="347">
        <f ca="1">IFERROR('D. Annual Schedule Tables'!E102/E189,0)</f>
        <v>0</v>
      </c>
      <c r="F204" s="347">
        <f ca="1">IFERROR('D. Annual Schedule Tables'!F102/F189,0)</f>
        <v>0</v>
      </c>
      <c r="G204" s="347">
        <f ca="1">IFERROR('D. Annual Schedule Tables'!G102/G189,0)</f>
        <v>0</v>
      </c>
      <c r="H204" s="347">
        <f ca="1">IFERROR('D. Annual Schedule Tables'!H102/H189,0)</f>
        <v>0</v>
      </c>
      <c r="I204" s="347">
        <f ca="1">IFERROR('D. Annual Schedule Tables'!I102/I189,0)</f>
        <v>0</v>
      </c>
      <c r="J204" s="347">
        <f ca="1">IFERROR('D. Annual Schedule Tables'!J102/J189,0)</f>
        <v>0</v>
      </c>
      <c r="K204" s="347">
        <f ca="1">IFERROR('D. Annual Schedule Tables'!K102/K189,0)</f>
        <v>0</v>
      </c>
      <c r="L204" s="347">
        <f ca="1">IFERROR('D. Annual Schedule Tables'!L102/L189,0)</f>
        <v>0</v>
      </c>
      <c r="M204" s="347">
        <f ca="1">IFERROR('D. Annual Schedule Tables'!M102/M189,0)</f>
        <v>0</v>
      </c>
      <c r="N204" s="347">
        <f ca="1">IFERROR('D. Annual Schedule Tables'!N102/N189,0)</f>
        <v>0</v>
      </c>
      <c r="O204" s="369">
        <f ca="1">IFERROR('D. Annual Schedule Tables'!O102/O189,0)</f>
        <v>0</v>
      </c>
      <c r="P204" s="434">
        <f t="shared" ca="1" si="75"/>
        <v>0</v>
      </c>
    </row>
    <row r="205" spans="2:16" s="1" customFormat="1" collapsed="1" x14ac:dyDescent="0.3">
      <c r="C205" s="1" t="s">
        <v>672</v>
      </c>
      <c r="E205" s="506">
        <f ca="1">IFERROR('D. Annual Schedule Tables'!E103/E189,0)</f>
        <v>2</v>
      </c>
      <c r="F205" s="506">
        <f ca="1">IFERROR('D. Annual Schedule Tables'!F103/F189,0)</f>
        <v>1.9968553459119496</v>
      </c>
      <c r="G205" s="506">
        <f ca="1">IFERROR('D. Annual Schedule Tables'!G103/G189,0)</f>
        <v>1.9969325153374233</v>
      </c>
      <c r="H205" s="506">
        <f ca="1">IFERROR('D. Annual Schedule Tables'!H103/H189,0)</f>
        <v>2</v>
      </c>
      <c r="I205" s="506">
        <f ca="1">IFERROR('D. Annual Schedule Tables'!I103/I189,0)</f>
        <v>2</v>
      </c>
      <c r="J205" s="506">
        <f ca="1">IFERROR('D. Annual Schedule Tables'!J103/J189,0)</f>
        <v>2</v>
      </c>
      <c r="K205" s="506">
        <f ca="1">IFERROR('D. Annual Schedule Tables'!K103/K189,0)</f>
        <v>1.9971988795518207</v>
      </c>
      <c r="L205" s="506">
        <f ca="1">IFERROR('D. Annual Schedule Tables'!L103/L189,0)</f>
        <v>1.9972602739726026</v>
      </c>
      <c r="M205" s="506">
        <f ca="1">IFERROR('D. Annual Schedule Tables'!M103/M189,0)</f>
        <v>1.9973190348525469</v>
      </c>
      <c r="N205" s="506">
        <f ca="1">IFERROR('D. Annual Schedule Tables'!N103/N189,0)</f>
        <v>2</v>
      </c>
      <c r="O205" s="583">
        <f ca="1">IFERROR('D. Annual Schedule Tables'!O103/O189,0)</f>
        <v>2</v>
      </c>
      <c r="P205" s="474">
        <f ca="1">IF(O205=0,IF(N205=0,IF(M205=0,IF(L205=0,IF(K205=0,IF(J205=0,IF(I205=0,IF(H205=0,IF(G205=0,IF(F205=0,E205,F205),G205),H205),I205),J205),K205),L205),M205),N205),O205)</f>
        <v>2</v>
      </c>
    </row>
    <row r="206" spans="2:16" s="1" customFormat="1" hidden="1" outlineLevel="1" x14ac:dyDescent="0.3">
      <c r="C206" s="483" t="s">
        <v>726</v>
      </c>
      <c r="E206" s="501">
        <f ca="1">IFERROR(E202*'B. Implementation Plan'!P43/52,0)</f>
        <v>1.2571339950372209</v>
      </c>
      <c r="F206" s="501">
        <f ca="1">IFERROR(F202*'B. Implementation Plan'!P43/52,0)</f>
        <v>1.2572568940493469</v>
      </c>
      <c r="G206" s="501">
        <f ca="1">IFERROR(G202*'B. Implementation Plan'!P43/52,0)</f>
        <v>1.2594384143463899</v>
      </c>
      <c r="H206" s="501">
        <f ca="1">IFERROR(H202*'B. Implementation Plan'!P43/52,0)</f>
        <v>1.2632825132825132</v>
      </c>
      <c r="I206" s="501">
        <f ca="1">IFERROR(I202*'B. Implementation Plan'!P43/52,0)</f>
        <v>1.2652267087750959</v>
      </c>
      <c r="J206" s="501">
        <f ca="1">IFERROR(J202*'B. Implementation Plan'!P43/52,0)</f>
        <v>1.2670817720960987</v>
      </c>
      <c r="K206" s="501">
        <f ca="1">IFERROR(K202*'B. Implementation Plan'!P43/52,0)</f>
        <v>1.2669683257918551</v>
      </c>
      <c r="L206" s="501">
        <f ca="1">IFERROR(L202*'B. Implementation Plan'!P43/52,0)</f>
        <v>1.2687038988408852</v>
      </c>
      <c r="M206" s="501">
        <f ca="1">IFERROR(M202*'B. Implementation Plan'!P43/52,0)</f>
        <v>1.2703650237162303</v>
      </c>
      <c r="N206" s="501">
        <f ca="1">IFERROR(N202*'B. Implementation Plan'!P43/52,0)</f>
        <v>1.2735323886639676</v>
      </c>
      <c r="O206" s="585">
        <f ca="1">IFERROR(O202*'B. Implementation Plan'!P43/52,0)</f>
        <v>1.2750297383029343</v>
      </c>
      <c r="P206" s="467">
        <f t="shared" ref="P206:P208" ca="1" si="76">IF(O206=0,IF(N206=0,IF(M206=0,IF(L206=0,IF(K206=0,IF(J206=0,IF(I206=0,IF(H206=0,IF(G206=0,IF(F206=0,E206,F206),G206),H206),I206),J206),K206),L206),M206),N206),O206)</f>
        <v>1.2750297383029343</v>
      </c>
    </row>
    <row r="207" spans="2:16" s="1" customFormat="1" hidden="1" outlineLevel="1" x14ac:dyDescent="0.3">
      <c r="C207" s="483" t="s">
        <v>727</v>
      </c>
      <c r="E207" s="501">
        <f ca="1">IFERROR(E203*'B. Implementation Plan'!P44/52,0)</f>
        <v>8.9019851116625304E-2</v>
      </c>
      <c r="F207" s="501">
        <f ca="1">IFERROR(F203*'B. Implementation Plan'!P44/52,0)</f>
        <v>8.6780358006773098E-2</v>
      </c>
      <c r="G207" s="501">
        <f ca="1">IFERROR(G203*'B. Implementation Plan'!P44/52,0)</f>
        <v>8.4650778669183566E-2</v>
      </c>
      <c r="H207" s="501">
        <f ca="1">IFERROR(H203*'B. Implementation Plan'!P44/52,0)</f>
        <v>8.2871332871332873E-2</v>
      </c>
      <c r="I207" s="501">
        <f ca="1">IFERROR(I203*'B. Implementation Plan'!P44/52,0)</f>
        <v>8.0927137378750277E-2</v>
      </c>
      <c r="J207" s="501">
        <f ca="1">IFERROR(J203*'B. Implementation Plan'!P44/52,0)</f>
        <v>7.9072074057747424E-2</v>
      </c>
      <c r="K207" s="501">
        <f ca="1">IFERROR(K203*'B. Implementation Plan'!P44/52,0)</f>
        <v>7.7300150829562597E-2</v>
      </c>
      <c r="L207" s="501">
        <f ca="1">IFERROR(L203*'B. Implementation Plan'!P44/52,0)</f>
        <v>7.5605900948366694E-2</v>
      </c>
      <c r="M207" s="501">
        <f ca="1">IFERROR(M203*'B. Implementation Plan'!P44/52,0)</f>
        <v>7.3984326665291811E-2</v>
      </c>
      <c r="N207" s="501">
        <f ca="1">IFERROR(N203*'B. Implementation Plan'!P44/52,0)</f>
        <v>7.2621457489878541E-2</v>
      </c>
      <c r="O207" s="585">
        <f ca="1">IFERROR(O203*'B. Implementation Plan'!P44/52,0)</f>
        <v>7.1124107850911972E-2</v>
      </c>
      <c r="P207" s="467">
        <f t="shared" ca="1" si="76"/>
        <v>7.1124107850911972E-2</v>
      </c>
    </row>
    <row r="208" spans="2:16" s="1" customFormat="1" hidden="1" outlineLevel="1" x14ac:dyDescent="0.3">
      <c r="C208" s="483" t="s">
        <v>728</v>
      </c>
      <c r="E208" s="501">
        <f ca="1">IFERROR(E204*'B. Implementation Plan'!P45/52,0)</f>
        <v>0</v>
      </c>
      <c r="F208" s="501">
        <f ca="1">IFERROR(F204*'B. Implementation Plan'!P45/52,0)</f>
        <v>0</v>
      </c>
      <c r="G208" s="501">
        <f ca="1">IFERROR(G204*'B. Implementation Plan'!P45/52,0)</f>
        <v>0</v>
      </c>
      <c r="H208" s="501">
        <f ca="1">IFERROR(H204*'B. Implementation Plan'!P45/52,0)</f>
        <v>0</v>
      </c>
      <c r="I208" s="501">
        <f ca="1">IFERROR(I204*'B. Implementation Plan'!P45/52,0)</f>
        <v>0</v>
      </c>
      <c r="J208" s="501">
        <f ca="1">IFERROR(J204*'B. Implementation Plan'!P45/52,0)</f>
        <v>0</v>
      </c>
      <c r="K208" s="501">
        <f ca="1">IFERROR(K204*'B. Implementation Plan'!P45/52,0)</f>
        <v>0</v>
      </c>
      <c r="L208" s="501">
        <f ca="1">IFERROR(L204*'B. Implementation Plan'!P45/52,0)</f>
        <v>0</v>
      </c>
      <c r="M208" s="501">
        <f ca="1">IFERROR(M204*'B. Implementation Plan'!P45/52,0)</f>
        <v>0</v>
      </c>
      <c r="N208" s="501">
        <f ca="1">IFERROR(N204*'B. Implementation Plan'!P45/52,0)</f>
        <v>0</v>
      </c>
      <c r="O208" s="585">
        <f ca="1">IFERROR(O204*'B. Implementation Plan'!P45/52,0)</f>
        <v>0</v>
      </c>
      <c r="P208" s="467">
        <f t="shared" ca="1" si="76"/>
        <v>0</v>
      </c>
    </row>
    <row r="209" spans="3:16" s="1" customFormat="1" collapsed="1" x14ac:dyDescent="0.3">
      <c r="C209" s="409" t="s">
        <v>741</v>
      </c>
      <c r="E209" s="472">
        <f ca="1">IFERROR(SUMPRODUCT(E202:E204,'B. Implementation Plan'!P43:P45)/52,0)</f>
        <v>1.3461538461538463</v>
      </c>
      <c r="F209" s="472">
        <f ca="1">IFERROR(SUMPRODUCT(F202:F204,'B. Implementation Plan'!P43:P45)/52,0)</f>
        <v>1.3440372520561199</v>
      </c>
      <c r="G209" s="472">
        <f ca="1">IFERROR(SUMPRODUCT(G202:G204,'B. Implementation Plan'!P43:P45)/52,0)</f>
        <v>1.3440891930155734</v>
      </c>
      <c r="H209" s="472">
        <f ca="1">IFERROR(SUMPRODUCT(H202:H204,'B. Implementation Plan'!P43:P45)/52,0)</f>
        <v>1.3461538461538463</v>
      </c>
      <c r="I209" s="472">
        <f ca="1">IFERROR(SUMPRODUCT(I202:I204,'B. Implementation Plan'!P43:P45)/52,0)</f>
        <v>1.3461538461538463</v>
      </c>
      <c r="J209" s="472">
        <f ca="1">IFERROR(SUMPRODUCT(J202:J204,'B. Implementation Plan'!P43:P45)/52,0)</f>
        <v>1.3461538461538463</v>
      </c>
      <c r="K209" s="472">
        <f ca="1">IFERROR(SUMPRODUCT(K202:K204,'B. Implementation Plan'!P43:P45)/52,0)</f>
        <v>1.3442684766214177</v>
      </c>
      <c r="L209" s="472">
        <f ca="1">IFERROR(SUMPRODUCT(L202:L204,'B. Implementation Plan'!P43:P45)/52,0)</f>
        <v>1.3443097997892519</v>
      </c>
      <c r="M209" s="472">
        <f ca="1">IFERROR(SUMPRODUCT(M202:M204,'B. Implementation Plan'!P43:P45)/52,0)</f>
        <v>1.344349350381522</v>
      </c>
      <c r="N209" s="472">
        <f ca="1">IFERROR(SUMPRODUCT(N202:N204,'B. Implementation Plan'!P43:P45)/52,0)</f>
        <v>1.3461538461538463</v>
      </c>
      <c r="O209" s="473">
        <f ca="1">IFERROR(SUMPRODUCT(O202:O204,'B. Implementation Plan'!P43:P45)/52,0)</f>
        <v>1.3461538461538463</v>
      </c>
      <c r="P209" s="474">
        <f ca="1">IF(O209=0,IF(N209=0,IF(M209=0,IF(L209=0,IF(K209=0,IF(J209=0,IF(I209=0,IF(H209=0,IF(G209=0,IF(F209=0,E209,F209),G209),H209),I209),J209),K209),L209),M209),N209),O209)</f>
        <v>1.3461538461538463</v>
      </c>
    </row>
    <row r="210" spans="3:16" s="1" customFormat="1" hidden="1" outlineLevel="1" x14ac:dyDescent="0.3">
      <c r="C210" s="433" t="s">
        <v>657</v>
      </c>
      <c r="E210" s="465">
        <f ca="1">IFERROR('D. Annual Schedule Tables'!E692/(E205*E189),0)</f>
        <v>1</v>
      </c>
      <c r="F210" s="465">
        <f ca="1">IFERROR('D. Annual Schedule Tables'!F692/(F205*F189),0)</f>
        <v>1</v>
      </c>
      <c r="G210" s="465">
        <f ca="1">IFERROR('D. Annual Schedule Tables'!G692/(G205*G189),0)</f>
        <v>1</v>
      </c>
      <c r="H210" s="465">
        <f ca="1">IFERROR('D. Annual Schedule Tables'!H692/(H205*H189),0)</f>
        <v>1</v>
      </c>
      <c r="I210" s="465">
        <f ca="1">IFERROR('D. Annual Schedule Tables'!I692/(I205*I189),0)</f>
        <v>1</v>
      </c>
      <c r="J210" s="465">
        <f ca="1">IFERROR('D. Annual Schedule Tables'!J692/(J205*J189),0)</f>
        <v>1</v>
      </c>
      <c r="K210" s="465">
        <f ca="1">IFERROR('D. Annual Schedule Tables'!K692/(K205*K189),0)</f>
        <v>1</v>
      </c>
      <c r="L210" s="465">
        <f ca="1">IFERROR('D. Annual Schedule Tables'!L692/(L205*L189),0)</f>
        <v>1</v>
      </c>
      <c r="M210" s="465">
        <f ca="1">IFERROR('D. Annual Schedule Tables'!M692/(M205*M189),0)</f>
        <v>1</v>
      </c>
      <c r="N210" s="465">
        <f ca="1">IFERROR('D. Annual Schedule Tables'!N692/(N205*N189),0)</f>
        <v>1</v>
      </c>
      <c r="O210" s="586">
        <f ca="1">IFERROR('D. Annual Schedule Tables'!O692/(O205*O189),0)</f>
        <v>1</v>
      </c>
      <c r="P210" s="466">
        <f ca="1">IF(O210=0,IF(N210=0,IF(M210=0,IF(L210=0,IF(K210=0,IF(J210=0,IF(I210=0,IF(H210=0,IF(G210=0,IF(F210=0,E210,F210),G210),H210),I210),J210),K210),L210),M210),N210),O210)</f>
        <v>1</v>
      </c>
    </row>
    <row r="211" spans="3:16" s="1" customFormat="1" hidden="1" outlineLevel="1" x14ac:dyDescent="0.3">
      <c r="C211" s="483" t="s">
        <v>729</v>
      </c>
      <c r="E211" s="468">
        <f t="shared" ref="E211" ca="1" si="77">IFERROR(E210*E206,0)</f>
        <v>1.2571339950372209</v>
      </c>
      <c r="F211" s="468">
        <f t="shared" ref="F211" ca="1" si="78">IFERROR(F210*F206,0)</f>
        <v>1.2572568940493469</v>
      </c>
      <c r="G211" s="468">
        <f t="shared" ref="G211" ca="1" si="79">IFERROR(G210*G206,0)</f>
        <v>1.2594384143463899</v>
      </c>
      <c r="H211" s="468">
        <f t="shared" ref="H211" ca="1" si="80">IFERROR(H210*H206,0)</f>
        <v>1.2632825132825132</v>
      </c>
      <c r="I211" s="468">
        <f t="shared" ref="I211" ca="1" si="81">IFERROR(I210*I206,0)</f>
        <v>1.2652267087750959</v>
      </c>
      <c r="J211" s="468">
        <f t="shared" ref="J211" ca="1" si="82">IFERROR(J210*J206,0)</f>
        <v>1.2670817720960987</v>
      </c>
      <c r="K211" s="468">
        <f t="shared" ref="K211" ca="1" si="83">IFERROR(K210*K206,0)</f>
        <v>1.2669683257918551</v>
      </c>
      <c r="L211" s="468">
        <f t="shared" ref="L211" ca="1" si="84">IFERROR(L210*L206,0)</f>
        <v>1.2687038988408852</v>
      </c>
      <c r="M211" s="468">
        <f t="shared" ref="M211" ca="1" si="85">IFERROR(M210*M206,0)</f>
        <v>1.2703650237162303</v>
      </c>
      <c r="N211" s="468">
        <f t="shared" ref="N211" ca="1" si="86">IFERROR(N210*N206,0)</f>
        <v>1.2735323886639676</v>
      </c>
      <c r="O211" s="471">
        <f t="shared" ref="O211" ca="1" si="87">IFERROR(O210*O206,0)</f>
        <v>1.2750297383029343</v>
      </c>
      <c r="P211" s="467">
        <f t="shared" ref="P211:P247" ca="1" si="88">IF(O211=0,IF(N211=0,IF(M211=0,IF(L211=0,IF(K211=0,IF(J211=0,IF(I211=0,IF(H211=0,IF(G211=0,IF(F211=0,E211,F211),G211),H211),I211),J211),K211),L211),M211),N211),O211)</f>
        <v>1.2750297383029343</v>
      </c>
    </row>
    <row r="212" spans="3:16" s="1" customFormat="1" hidden="1" outlineLevel="1" x14ac:dyDescent="0.3">
      <c r="C212" s="483" t="s">
        <v>730</v>
      </c>
      <c r="E212" s="468">
        <f t="shared" ref="E212:O212" ca="1" si="89">IFERROR(E210*E207,0)</f>
        <v>8.9019851116625304E-2</v>
      </c>
      <c r="F212" s="468">
        <f t="shared" ca="1" si="89"/>
        <v>8.6780358006773098E-2</v>
      </c>
      <c r="G212" s="468">
        <f t="shared" ca="1" si="89"/>
        <v>8.4650778669183566E-2</v>
      </c>
      <c r="H212" s="468">
        <f t="shared" ca="1" si="89"/>
        <v>8.2871332871332873E-2</v>
      </c>
      <c r="I212" s="468">
        <f t="shared" ca="1" si="89"/>
        <v>8.0927137378750277E-2</v>
      </c>
      <c r="J212" s="468">
        <f t="shared" ca="1" si="89"/>
        <v>7.9072074057747424E-2</v>
      </c>
      <c r="K212" s="468">
        <f t="shared" ca="1" si="89"/>
        <v>7.7300150829562597E-2</v>
      </c>
      <c r="L212" s="468">
        <f t="shared" ca="1" si="89"/>
        <v>7.5605900948366694E-2</v>
      </c>
      <c r="M212" s="468">
        <f t="shared" ca="1" si="89"/>
        <v>7.3984326665291811E-2</v>
      </c>
      <c r="N212" s="468">
        <f t="shared" ca="1" si="89"/>
        <v>7.2621457489878541E-2</v>
      </c>
      <c r="O212" s="471">
        <f t="shared" ca="1" si="89"/>
        <v>7.1124107850911972E-2</v>
      </c>
      <c r="P212" s="467">
        <f t="shared" ca="1" si="88"/>
        <v>7.1124107850911972E-2</v>
      </c>
    </row>
    <row r="213" spans="3:16" s="1" customFormat="1" hidden="1" outlineLevel="1" x14ac:dyDescent="0.3">
      <c r="C213" s="483" t="s">
        <v>731</v>
      </c>
      <c r="E213" s="468">
        <f t="shared" ref="E213:O213" ca="1" si="90">IFERROR(E210*E208,0)</f>
        <v>0</v>
      </c>
      <c r="F213" s="468">
        <f t="shared" ca="1" si="90"/>
        <v>0</v>
      </c>
      <c r="G213" s="468">
        <f t="shared" ca="1" si="90"/>
        <v>0</v>
      </c>
      <c r="H213" s="468">
        <f t="shared" ca="1" si="90"/>
        <v>0</v>
      </c>
      <c r="I213" s="468">
        <f t="shared" ca="1" si="90"/>
        <v>0</v>
      </c>
      <c r="J213" s="468">
        <f t="shared" ca="1" si="90"/>
        <v>0</v>
      </c>
      <c r="K213" s="468">
        <f t="shared" ca="1" si="90"/>
        <v>0</v>
      </c>
      <c r="L213" s="468">
        <f t="shared" ca="1" si="90"/>
        <v>0</v>
      </c>
      <c r="M213" s="468">
        <f t="shared" ca="1" si="90"/>
        <v>0</v>
      </c>
      <c r="N213" s="468">
        <f t="shared" ca="1" si="90"/>
        <v>0</v>
      </c>
      <c r="O213" s="471">
        <f t="shared" ca="1" si="90"/>
        <v>0</v>
      </c>
      <c r="P213" s="467">
        <f t="shared" ca="1" si="88"/>
        <v>0</v>
      </c>
    </row>
    <row r="214" spans="3:16" collapsed="1" x14ac:dyDescent="0.3">
      <c r="C214" s="433" t="s">
        <v>656</v>
      </c>
      <c r="E214" s="468">
        <f t="shared" ref="E214:O214" ca="1" si="91">IFERROR(E210*E209,0)</f>
        <v>1.3461538461538463</v>
      </c>
      <c r="F214" s="468">
        <f t="shared" ca="1" si="91"/>
        <v>1.3440372520561199</v>
      </c>
      <c r="G214" s="468">
        <f t="shared" ca="1" si="91"/>
        <v>1.3440891930155734</v>
      </c>
      <c r="H214" s="468">
        <f t="shared" ca="1" si="91"/>
        <v>1.3461538461538463</v>
      </c>
      <c r="I214" s="468">
        <f t="shared" ca="1" si="91"/>
        <v>1.3461538461538463</v>
      </c>
      <c r="J214" s="468">
        <f t="shared" ca="1" si="91"/>
        <v>1.3461538461538463</v>
      </c>
      <c r="K214" s="468">
        <f t="shared" ca="1" si="91"/>
        <v>1.3442684766214177</v>
      </c>
      <c r="L214" s="468">
        <f t="shared" ca="1" si="91"/>
        <v>1.3443097997892519</v>
      </c>
      <c r="M214" s="468">
        <f t="shared" ca="1" si="91"/>
        <v>1.344349350381522</v>
      </c>
      <c r="N214" s="468">
        <f t="shared" ca="1" si="91"/>
        <v>1.3461538461538463</v>
      </c>
      <c r="O214" s="471">
        <f t="shared" ca="1" si="91"/>
        <v>1.3461538461538463</v>
      </c>
      <c r="P214" s="467">
        <f t="shared" ca="1" si="88"/>
        <v>1.3461538461538463</v>
      </c>
    </row>
    <row r="215" spans="3:16" hidden="1" outlineLevel="1" x14ac:dyDescent="0.3">
      <c r="C215" s="433" t="s">
        <v>880</v>
      </c>
      <c r="E215" s="378">
        <f ca="1">IFERROR('D. Annual Schedule Tables'!E693/(E205*E189),0)</f>
        <v>0</v>
      </c>
      <c r="F215" s="378">
        <f ca="1">IFERROR('D. Annual Schedule Tables'!F693/(F205*F189),0)</f>
        <v>0</v>
      </c>
      <c r="G215" s="378">
        <f ca="1">IFERROR('D. Annual Schedule Tables'!G693/(G205*G189),0)</f>
        <v>0</v>
      </c>
      <c r="H215" s="378">
        <f ca="1">IFERROR('D. Annual Schedule Tables'!H693/(H205*H189),0)</f>
        <v>0</v>
      </c>
      <c r="I215" s="378">
        <f ca="1">IFERROR('D. Annual Schedule Tables'!I693/(I205*I189),0)</f>
        <v>0</v>
      </c>
      <c r="J215" s="378">
        <f ca="1">IFERROR('D. Annual Schedule Tables'!J693/(J205*J189),0)</f>
        <v>0</v>
      </c>
      <c r="K215" s="378">
        <f ca="1">IFERROR('D. Annual Schedule Tables'!K693/(K205*K189),0)</f>
        <v>0</v>
      </c>
      <c r="L215" s="378">
        <f ca="1">IFERROR('D. Annual Schedule Tables'!L693/(L205*L189),0)</f>
        <v>0</v>
      </c>
      <c r="M215" s="378">
        <f ca="1">IFERROR('D. Annual Schedule Tables'!M693/(M205*M189),0)</f>
        <v>0</v>
      </c>
      <c r="N215" s="378">
        <f ca="1">IFERROR('D. Annual Schedule Tables'!N693/(N205*N189),0)</f>
        <v>0</v>
      </c>
      <c r="O215" s="378">
        <f ca="1">IFERROR('D. Annual Schedule Tables'!O693/(O205*O189),0)</f>
        <v>0</v>
      </c>
      <c r="P215" s="466">
        <f ca="1">IF(O215=0,IF(N215=0,IF(M215=0,IF(L215=0,IF(K215=0,IF(J215=0,IF(I215=0,IF(H215=0,IF(G215=0,IF(F215=0,E215,F215),G215),H215),I215),J215),K215),L215),M215),N215),O215)</f>
        <v>0</v>
      </c>
    </row>
    <row r="216" spans="3:16" hidden="1" outlineLevel="1" x14ac:dyDescent="0.3">
      <c r="C216" s="483" t="s">
        <v>881</v>
      </c>
      <c r="E216" s="468">
        <f ca="1">IFERROR(E215*E206,0)</f>
        <v>0</v>
      </c>
      <c r="F216" s="468">
        <f t="shared" ref="F216" ca="1" si="92">IFERROR(F215*F206,0)</f>
        <v>0</v>
      </c>
      <c r="G216" s="468">
        <f t="shared" ref="G216" ca="1" si="93">IFERROR(G215*G206,0)</f>
        <v>0</v>
      </c>
      <c r="H216" s="468">
        <f t="shared" ref="H216" ca="1" si="94">IFERROR(H215*H206,0)</f>
        <v>0</v>
      </c>
      <c r="I216" s="468">
        <f t="shared" ref="I216" ca="1" si="95">IFERROR(I215*I206,0)</f>
        <v>0</v>
      </c>
      <c r="J216" s="468">
        <f t="shared" ref="J216" ca="1" si="96">IFERROR(J215*J206,0)</f>
        <v>0</v>
      </c>
      <c r="K216" s="468">
        <f t="shared" ref="K216" ca="1" si="97">IFERROR(K215*K206,0)</f>
        <v>0</v>
      </c>
      <c r="L216" s="468">
        <f t="shared" ref="L216" ca="1" si="98">IFERROR(L215*L206,0)</f>
        <v>0</v>
      </c>
      <c r="M216" s="468">
        <f t="shared" ref="M216" ca="1" si="99">IFERROR(M215*M206,0)</f>
        <v>0</v>
      </c>
      <c r="N216" s="468">
        <f t="shared" ref="N216" ca="1" si="100">IFERROR(N215*N206,0)</f>
        <v>0</v>
      </c>
      <c r="O216" s="468">
        <f t="shared" ref="O216" ca="1" si="101">IFERROR(O215*O206,0)</f>
        <v>0</v>
      </c>
      <c r="P216" s="467">
        <f t="shared" ref="P216:P219" ca="1" si="102">IF(O216=0,IF(N216=0,IF(M216=0,IF(L216=0,IF(K216=0,IF(J216=0,IF(I216=0,IF(H216=0,IF(G216=0,IF(F216=0,E216,F216),G216),H216),I216),J216),K216),L216),M216),N216),O216)</f>
        <v>0</v>
      </c>
    </row>
    <row r="217" spans="3:16" hidden="1" outlineLevel="1" x14ac:dyDescent="0.3">
      <c r="C217" s="483" t="s">
        <v>882</v>
      </c>
      <c r="E217" s="468">
        <f ca="1">IFERROR(E215*E207,0)</f>
        <v>0</v>
      </c>
      <c r="F217" s="468">
        <f t="shared" ref="F217:O217" ca="1" si="103">IFERROR(F215*F207,0)</f>
        <v>0</v>
      </c>
      <c r="G217" s="468">
        <f t="shared" ca="1" si="103"/>
        <v>0</v>
      </c>
      <c r="H217" s="468">
        <f t="shared" ca="1" si="103"/>
        <v>0</v>
      </c>
      <c r="I217" s="468">
        <f t="shared" ca="1" si="103"/>
        <v>0</v>
      </c>
      <c r="J217" s="468">
        <f t="shared" ca="1" si="103"/>
        <v>0</v>
      </c>
      <c r="K217" s="468">
        <f t="shared" ca="1" si="103"/>
        <v>0</v>
      </c>
      <c r="L217" s="468">
        <f t="shared" ca="1" si="103"/>
        <v>0</v>
      </c>
      <c r="M217" s="468">
        <f t="shared" ca="1" si="103"/>
        <v>0</v>
      </c>
      <c r="N217" s="468">
        <f t="shared" ca="1" si="103"/>
        <v>0</v>
      </c>
      <c r="O217" s="468">
        <f t="shared" ca="1" si="103"/>
        <v>0</v>
      </c>
      <c r="P217" s="467">
        <f t="shared" ca="1" si="102"/>
        <v>0</v>
      </c>
    </row>
    <row r="218" spans="3:16" hidden="1" outlineLevel="1" x14ac:dyDescent="0.3">
      <c r="C218" s="483" t="s">
        <v>883</v>
      </c>
      <c r="E218" s="468">
        <f ca="1">IFERROR(E215*E208,0)</f>
        <v>0</v>
      </c>
      <c r="F218" s="468">
        <f t="shared" ref="F218:O218" ca="1" si="104">IFERROR(F215*F208,0)</f>
        <v>0</v>
      </c>
      <c r="G218" s="468">
        <f t="shared" ca="1" si="104"/>
        <v>0</v>
      </c>
      <c r="H218" s="468">
        <f t="shared" ca="1" si="104"/>
        <v>0</v>
      </c>
      <c r="I218" s="468">
        <f t="shared" ca="1" si="104"/>
        <v>0</v>
      </c>
      <c r="J218" s="468">
        <f t="shared" ca="1" si="104"/>
        <v>0</v>
      </c>
      <c r="K218" s="468">
        <f t="shared" ca="1" si="104"/>
        <v>0</v>
      </c>
      <c r="L218" s="468">
        <f t="shared" ca="1" si="104"/>
        <v>0</v>
      </c>
      <c r="M218" s="468">
        <f t="shared" ca="1" si="104"/>
        <v>0</v>
      </c>
      <c r="N218" s="468">
        <f t="shared" ca="1" si="104"/>
        <v>0</v>
      </c>
      <c r="O218" s="468">
        <f t="shared" ca="1" si="104"/>
        <v>0</v>
      </c>
      <c r="P218" s="467">
        <f t="shared" ca="1" si="102"/>
        <v>0</v>
      </c>
    </row>
    <row r="219" spans="3:16" collapsed="1" x14ac:dyDescent="0.3">
      <c r="C219" s="433" t="s">
        <v>884</v>
      </c>
      <c r="E219" s="468">
        <f ca="1">IFERROR(E215*E209,0)</f>
        <v>0</v>
      </c>
      <c r="F219" s="468">
        <f t="shared" ref="F219:O219" ca="1" si="105">IFERROR(F215*F209,0)</f>
        <v>0</v>
      </c>
      <c r="G219" s="468">
        <f t="shared" ca="1" si="105"/>
        <v>0</v>
      </c>
      <c r="H219" s="468">
        <f t="shared" ca="1" si="105"/>
        <v>0</v>
      </c>
      <c r="I219" s="468">
        <f t="shared" ca="1" si="105"/>
        <v>0</v>
      </c>
      <c r="J219" s="468">
        <f t="shared" ca="1" si="105"/>
        <v>0</v>
      </c>
      <c r="K219" s="468">
        <f t="shared" ca="1" si="105"/>
        <v>0</v>
      </c>
      <c r="L219" s="468">
        <f t="shared" ca="1" si="105"/>
        <v>0</v>
      </c>
      <c r="M219" s="468">
        <f t="shared" ca="1" si="105"/>
        <v>0</v>
      </c>
      <c r="N219" s="468">
        <f t="shared" ca="1" si="105"/>
        <v>0</v>
      </c>
      <c r="O219" s="468">
        <f t="shared" ca="1" si="105"/>
        <v>0</v>
      </c>
      <c r="P219" s="467">
        <f t="shared" ca="1" si="102"/>
        <v>0</v>
      </c>
    </row>
    <row r="220" spans="3:16" hidden="1" outlineLevel="1" x14ac:dyDescent="0.3">
      <c r="C220" s="433" t="s">
        <v>897</v>
      </c>
      <c r="E220" s="378">
        <f ca="1">IFERROR((1-E210-E215),0)</f>
        <v>0</v>
      </c>
      <c r="F220" s="378">
        <f t="shared" ref="F220:O220" ca="1" si="106">IFERROR((1-F210-F215),0)</f>
        <v>0</v>
      </c>
      <c r="G220" s="378">
        <f t="shared" ca="1" si="106"/>
        <v>0</v>
      </c>
      <c r="H220" s="378">
        <f t="shared" ca="1" si="106"/>
        <v>0</v>
      </c>
      <c r="I220" s="378">
        <f t="shared" ca="1" si="106"/>
        <v>0</v>
      </c>
      <c r="J220" s="378">
        <f t="shared" ca="1" si="106"/>
        <v>0</v>
      </c>
      <c r="K220" s="378">
        <f t="shared" ca="1" si="106"/>
        <v>0</v>
      </c>
      <c r="L220" s="378">
        <f t="shared" ca="1" si="106"/>
        <v>0</v>
      </c>
      <c r="M220" s="378">
        <f t="shared" ca="1" si="106"/>
        <v>0</v>
      </c>
      <c r="N220" s="378">
        <f t="shared" ca="1" si="106"/>
        <v>0</v>
      </c>
      <c r="O220" s="378">
        <f t="shared" ca="1" si="106"/>
        <v>0</v>
      </c>
      <c r="P220" s="466">
        <f ca="1">IF(O220=0,IF(N220=0,IF(M220=0,IF(L220=0,IF(K220=0,IF(J220=0,IF(I220=0,IF(H220=0,IF(G220=0,IF(F220=0,E220,F220),G220),H220),I220),J220),K220),L220),M220),N220),O220)</f>
        <v>0</v>
      </c>
    </row>
    <row r="221" spans="3:16" hidden="1" outlineLevel="1" x14ac:dyDescent="0.3">
      <c r="C221" s="483" t="s">
        <v>898</v>
      </c>
      <c r="E221" s="468">
        <f ca="1">IFERROR(E220*E206,0)</f>
        <v>0</v>
      </c>
      <c r="F221" s="468">
        <f t="shared" ref="F221" ca="1" si="107">IFERROR(F220*F206,0)</f>
        <v>0</v>
      </c>
      <c r="G221" s="468">
        <f t="shared" ref="G221" ca="1" si="108">IFERROR(G220*G206,0)</f>
        <v>0</v>
      </c>
      <c r="H221" s="468">
        <f t="shared" ref="H221" ca="1" si="109">IFERROR(H220*H206,0)</f>
        <v>0</v>
      </c>
      <c r="I221" s="468">
        <f t="shared" ref="I221" ca="1" si="110">IFERROR(I220*I206,0)</f>
        <v>0</v>
      </c>
      <c r="J221" s="468">
        <f t="shared" ref="J221" ca="1" si="111">IFERROR(J220*J206,0)</f>
        <v>0</v>
      </c>
      <c r="K221" s="468">
        <f t="shared" ref="K221" ca="1" si="112">IFERROR(K220*K206,0)</f>
        <v>0</v>
      </c>
      <c r="L221" s="468">
        <f t="shared" ref="L221" ca="1" si="113">IFERROR(L220*L206,0)</f>
        <v>0</v>
      </c>
      <c r="M221" s="468">
        <f t="shared" ref="M221" ca="1" si="114">IFERROR(M220*M206,0)</f>
        <v>0</v>
      </c>
      <c r="N221" s="468">
        <f t="shared" ref="N221" ca="1" si="115">IFERROR(N220*N206,0)</f>
        <v>0</v>
      </c>
      <c r="O221" s="468">
        <f t="shared" ref="O221" ca="1" si="116">IFERROR(O220*O206,0)</f>
        <v>0</v>
      </c>
      <c r="P221" s="467">
        <f t="shared" ref="P221:P224" ca="1" si="117">IF(O221=0,IF(N221=0,IF(M221=0,IF(L221=0,IF(K221=0,IF(J221=0,IF(I221=0,IF(H221=0,IF(G221=0,IF(F221=0,E221,F221),G221),H221),I221),J221),K221),L221),M221),N221),O221)</f>
        <v>0</v>
      </c>
    </row>
    <row r="222" spans="3:16" hidden="1" outlineLevel="1" x14ac:dyDescent="0.3">
      <c r="C222" s="483" t="s">
        <v>899</v>
      </c>
      <c r="E222" s="468">
        <f ca="1">IFERROR(E220*E207,0)</f>
        <v>0</v>
      </c>
      <c r="F222" s="468">
        <f t="shared" ref="F222:O222" ca="1" si="118">IFERROR(F220*F207,0)</f>
        <v>0</v>
      </c>
      <c r="G222" s="468">
        <f t="shared" ca="1" si="118"/>
        <v>0</v>
      </c>
      <c r="H222" s="468">
        <f t="shared" ca="1" si="118"/>
        <v>0</v>
      </c>
      <c r="I222" s="468">
        <f t="shared" ca="1" si="118"/>
        <v>0</v>
      </c>
      <c r="J222" s="468">
        <f t="shared" ca="1" si="118"/>
        <v>0</v>
      </c>
      <c r="K222" s="468">
        <f t="shared" ca="1" si="118"/>
        <v>0</v>
      </c>
      <c r="L222" s="468">
        <f t="shared" ca="1" si="118"/>
        <v>0</v>
      </c>
      <c r="M222" s="468">
        <f t="shared" ca="1" si="118"/>
        <v>0</v>
      </c>
      <c r="N222" s="468">
        <f t="shared" ca="1" si="118"/>
        <v>0</v>
      </c>
      <c r="O222" s="468">
        <f t="shared" ca="1" si="118"/>
        <v>0</v>
      </c>
      <c r="P222" s="467">
        <f t="shared" ca="1" si="117"/>
        <v>0</v>
      </c>
    </row>
    <row r="223" spans="3:16" hidden="1" outlineLevel="1" x14ac:dyDescent="0.3">
      <c r="C223" s="483" t="s">
        <v>900</v>
      </c>
      <c r="E223" s="468">
        <f ca="1">IFERROR(E220*E208,0)</f>
        <v>0</v>
      </c>
      <c r="F223" s="468">
        <f t="shared" ref="F223:O223" ca="1" si="119">IFERROR(F220*F208,0)</f>
        <v>0</v>
      </c>
      <c r="G223" s="468">
        <f t="shared" ca="1" si="119"/>
        <v>0</v>
      </c>
      <c r="H223" s="468">
        <f t="shared" ca="1" si="119"/>
        <v>0</v>
      </c>
      <c r="I223" s="468">
        <f t="shared" ca="1" si="119"/>
        <v>0</v>
      </c>
      <c r="J223" s="468">
        <f t="shared" ca="1" si="119"/>
        <v>0</v>
      </c>
      <c r="K223" s="468">
        <f t="shared" ca="1" si="119"/>
        <v>0</v>
      </c>
      <c r="L223" s="468">
        <f t="shared" ca="1" si="119"/>
        <v>0</v>
      </c>
      <c r="M223" s="468">
        <f t="shared" ca="1" si="119"/>
        <v>0</v>
      </c>
      <c r="N223" s="468">
        <f t="shared" ca="1" si="119"/>
        <v>0</v>
      </c>
      <c r="O223" s="468">
        <f t="shared" ca="1" si="119"/>
        <v>0</v>
      </c>
      <c r="P223" s="467">
        <f t="shared" ca="1" si="117"/>
        <v>0</v>
      </c>
    </row>
    <row r="224" spans="3:16" collapsed="1" x14ac:dyDescent="0.3">
      <c r="C224" s="433" t="s">
        <v>896</v>
      </c>
      <c r="E224" s="468">
        <f t="shared" ref="E224:O224" ca="1" si="120">IFERROR(E220*E209,0)</f>
        <v>0</v>
      </c>
      <c r="F224" s="468">
        <f t="shared" ca="1" si="120"/>
        <v>0</v>
      </c>
      <c r="G224" s="468">
        <f t="shared" ca="1" si="120"/>
        <v>0</v>
      </c>
      <c r="H224" s="468">
        <f t="shared" ca="1" si="120"/>
        <v>0</v>
      </c>
      <c r="I224" s="468">
        <f t="shared" ca="1" si="120"/>
        <v>0</v>
      </c>
      <c r="J224" s="468">
        <f t="shared" ca="1" si="120"/>
        <v>0</v>
      </c>
      <c r="K224" s="468">
        <f t="shared" ca="1" si="120"/>
        <v>0</v>
      </c>
      <c r="L224" s="468">
        <f t="shared" ca="1" si="120"/>
        <v>0</v>
      </c>
      <c r="M224" s="468">
        <f t="shared" ca="1" si="120"/>
        <v>0</v>
      </c>
      <c r="N224" s="468">
        <f t="shared" ca="1" si="120"/>
        <v>0</v>
      </c>
      <c r="O224" s="468">
        <f t="shared" ca="1" si="120"/>
        <v>0</v>
      </c>
      <c r="P224" s="467">
        <f t="shared" ca="1" si="117"/>
        <v>0</v>
      </c>
    </row>
    <row r="225" spans="3:16" s="1" customFormat="1" hidden="1" outlineLevel="1" x14ac:dyDescent="0.3">
      <c r="C225" s="433" t="s">
        <v>653</v>
      </c>
      <c r="E225" s="465">
        <f ca="1">IFERROR('D. Annual Schedule Tables'!E704/(E205*E189),0)</f>
        <v>1</v>
      </c>
      <c r="F225" s="465">
        <f ca="1">IFERROR('D. Annual Schedule Tables'!F704/(F205*F189),0)</f>
        <v>1</v>
      </c>
      <c r="G225" s="465">
        <f ca="1">IFERROR('D. Annual Schedule Tables'!G704/(G205*G189),0)</f>
        <v>1</v>
      </c>
      <c r="H225" s="465">
        <f ca="1">IFERROR('D. Annual Schedule Tables'!H704/(H205*H189),0)</f>
        <v>1</v>
      </c>
      <c r="I225" s="465">
        <f ca="1">IFERROR('D. Annual Schedule Tables'!I704/(I205*I189),0)</f>
        <v>1</v>
      </c>
      <c r="J225" s="465">
        <f ca="1">IFERROR('D. Annual Schedule Tables'!J704/(J205*J189),0)</f>
        <v>1</v>
      </c>
      <c r="K225" s="465">
        <f ca="1">IFERROR('D. Annual Schedule Tables'!K704/(K205*K189),0)</f>
        <v>1</v>
      </c>
      <c r="L225" s="465">
        <f ca="1">IFERROR('D. Annual Schedule Tables'!L704/(L205*L189),0)</f>
        <v>1</v>
      </c>
      <c r="M225" s="465">
        <f ca="1">IFERROR('D. Annual Schedule Tables'!M704/(M205*M189),0)</f>
        <v>1</v>
      </c>
      <c r="N225" s="465">
        <f ca="1">IFERROR('D. Annual Schedule Tables'!N704/(N205*N189),0)</f>
        <v>1</v>
      </c>
      <c r="O225" s="586">
        <f ca="1">IFERROR('D. Annual Schedule Tables'!O704/(O205*O189),0)</f>
        <v>1</v>
      </c>
      <c r="P225" s="466">
        <f t="shared" ca="1" si="88"/>
        <v>1</v>
      </c>
    </row>
    <row r="226" spans="3:16" hidden="1" outlineLevel="1" x14ac:dyDescent="0.3">
      <c r="C226" s="483" t="s">
        <v>732</v>
      </c>
      <c r="E226" s="502">
        <f t="shared" ref="E226" ca="1" si="121">IFERROR(E225*E206,0)</f>
        <v>1.2571339950372209</v>
      </c>
      <c r="F226" s="502">
        <f t="shared" ref="F226" ca="1" si="122">IFERROR(F225*F206,0)</f>
        <v>1.2572568940493469</v>
      </c>
      <c r="G226" s="502">
        <f t="shared" ref="G226" ca="1" si="123">IFERROR(G225*G206,0)</f>
        <v>1.2594384143463899</v>
      </c>
      <c r="H226" s="502">
        <f t="shared" ref="H226" ca="1" si="124">IFERROR(H225*H206,0)</f>
        <v>1.2632825132825132</v>
      </c>
      <c r="I226" s="502">
        <f t="shared" ref="I226" ca="1" si="125">IFERROR(I225*I206,0)</f>
        <v>1.2652267087750959</v>
      </c>
      <c r="J226" s="502">
        <f t="shared" ref="J226" ca="1" si="126">IFERROR(J225*J206,0)</f>
        <v>1.2670817720960987</v>
      </c>
      <c r="K226" s="502">
        <f t="shared" ref="K226" ca="1" si="127">IFERROR(K225*K206,0)</f>
        <v>1.2669683257918551</v>
      </c>
      <c r="L226" s="502">
        <f t="shared" ref="L226" ca="1" si="128">IFERROR(L225*L206,0)</f>
        <v>1.2687038988408852</v>
      </c>
      <c r="M226" s="502">
        <f t="shared" ref="M226" ca="1" si="129">IFERROR(M225*M206,0)</f>
        <v>1.2703650237162303</v>
      </c>
      <c r="N226" s="502">
        <f t="shared" ref="N226" ca="1" si="130">IFERROR(N225*N206,0)</f>
        <v>1.2735323886639676</v>
      </c>
      <c r="O226" s="587">
        <f t="shared" ref="O226" ca="1" si="131">IFERROR(O225*O206,0)</f>
        <v>1.2750297383029343</v>
      </c>
      <c r="P226" s="467">
        <f t="shared" ca="1" si="88"/>
        <v>1.2750297383029343</v>
      </c>
    </row>
    <row r="227" spans="3:16" hidden="1" outlineLevel="1" x14ac:dyDescent="0.3">
      <c r="C227" s="483" t="s">
        <v>733</v>
      </c>
      <c r="E227" s="502">
        <f t="shared" ref="E227:O227" ca="1" si="132">IFERROR(E225*E207,0)</f>
        <v>8.9019851116625304E-2</v>
      </c>
      <c r="F227" s="502">
        <f t="shared" ca="1" si="132"/>
        <v>8.6780358006773098E-2</v>
      </c>
      <c r="G227" s="502">
        <f t="shared" ca="1" si="132"/>
        <v>8.4650778669183566E-2</v>
      </c>
      <c r="H227" s="502">
        <f t="shared" ca="1" si="132"/>
        <v>8.2871332871332873E-2</v>
      </c>
      <c r="I227" s="502">
        <f t="shared" ca="1" si="132"/>
        <v>8.0927137378750277E-2</v>
      </c>
      <c r="J227" s="502">
        <f t="shared" ca="1" si="132"/>
        <v>7.9072074057747424E-2</v>
      </c>
      <c r="K227" s="502">
        <f t="shared" ca="1" si="132"/>
        <v>7.7300150829562597E-2</v>
      </c>
      <c r="L227" s="502">
        <f t="shared" ca="1" si="132"/>
        <v>7.5605900948366694E-2</v>
      </c>
      <c r="M227" s="502">
        <f t="shared" ca="1" si="132"/>
        <v>7.3984326665291811E-2</v>
      </c>
      <c r="N227" s="502">
        <f t="shared" ca="1" si="132"/>
        <v>7.2621457489878541E-2</v>
      </c>
      <c r="O227" s="587">
        <f t="shared" ca="1" si="132"/>
        <v>7.1124107850911972E-2</v>
      </c>
      <c r="P227" s="467">
        <f t="shared" ca="1" si="88"/>
        <v>7.1124107850911972E-2</v>
      </c>
    </row>
    <row r="228" spans="3:16" hidden="1" outlineLevel="1" x14ac:dyDescent="0.3">
      <c r="C228" s="483" t="s">
        <v>734</v>
      </c>
      <c r="E228" s="502">
        <f t="shared" ref="E228:O228" ca="1" si="133">IFERROR(E225*E208,0)</f>
        <v>0</v>
      </c>
      <c r="F228" s="502">
        <f t="shared" ca="1" si="133"/>
        <v>0</v>
      </c>
      <c r="G228" s="502">
        <f t="shared" ca="1" si="133"/>
        <v>0</v>
      </c>
      <c r="H228" s="502">
        <f t="shared" ca="1" si="133"/>
        <v>0</v>
      </c>
      <c r="I228" s="502">
        <f t="shared" ca="1" si="133"/>
        <v>0</v>
      </c>
      <c r="J228" s="502">
        <f t="shared" ca="1" si="133"/>
        <v>0</v>
      </c>
      <c r="K228" s="502">
        <f t="shared" ca="1" si="133"/>
        <v>0</v>
      </c>
      <c r="L228" s="502">
        <f t="shared" ca="1" si="133"/>
        <v>0</v>
      </c>
      <c r="M228" s="502">
        <f t="shared" ca="1" si="133"/>
        <v>0</v>
      </c>
      <c r="N228" s="502">
        <f t="shared" ca="1" si="133"/>
        <v>0</v>
      </c>
      <c r="O228" s="587">
        <f t="shared" ca="1" si="133"/>
        <v>0</v>
      </c>
      <c r="P228" s="467">
        <f t="shared" ca="1" si="88"/>
        <v>0</v>
      </c>
    </row>
    <row r="229" spans="3:16" collapsed="1" x14ac:dyDescent="0.3">
      <c r="C229" s="433" t="s">
        <v>655</v>
      </c>
      <c r="E229" s="468">
        <f t="shared" ref="E229:O229" ca="1" si="134">IFERROR(E225*E209,0)</f>
        <v>1.3461538461538463</v>
      </c>
      <c r="F229" s="468">
        <f t="shared" ca="1" si="134"/>
        <v>1.3440372520561199</v>
      </c>
      <c r="G229" s="468">
        <f t="shared" ca="1" si="134"/>
        <v>1.3440891930155734</v>
      </c>
      <c r="H229" s="468">
        <f t="shared" ca="1" si="134"/>
        <v>1.3461538461538463</v>
      </c>
      <c r="I229" s="468">
        <f t="shared" ca="1" si="134"/>
        <v>1.3461538461538463</v>
      </c>
      <c r="J229" s="468">
        <f t="shared" ca="1" si="134"/>
        <v>1.3461538461538463</v>
      </c>
      <c r="K229" s="468">
        <f t="shared" ca="1" si="134"/>
        <v>1.3442684766214177</v>
      </c>
      <c r="L229" s="468">
        <f t="shared" ca="1" si="134"/>
        <v>1.3443097997892519</v>
      </c>
      <c r="M229" s="468">
        <f t="shared" ca="1" si="134"/>
        <v>1.344349350381522</v>
      </c>
      <c r="N229" s="468">
        <f t="shared" ca="1" si="134"/>
        <v>1.3461538461538463</v>
      </c>
      <c r="O229" s="471">
        <f t="shared" ca="1" si="134"/>
        <v>1.3461538461538463</v>
      </c>
      <c r="P229" s="467">
        <f t="shared" ca="1" si="88"/>
        <v>1.3461538461538463</v>
      </c>
    </row>
    <row r="230" spans="3:16" s="1" customFormat="1" hidden="1" outlineLevel="1" x14ac:dyDescent="0.3">
      <c r="C230" s="432" t="s">
        <v>675</v>
      </c>
      <c r="E230" s="507">
        <f ca="1">IFERROR('D. Annual Schedule Tables'!E119/E189,0)</f>
        <v>1.8645161290322581</v>
      </c>
      <c r="F230" s="507">
        <f ca="1">IFERROR('D. Annual Schedule Tables'!F119/F189,0)</f>
        <v>1.8679245283018868</v>
      </c>
      <c r="G230" s="507">
        <f ca="1">IFERROR('D. Annual Schedule Tables'!G119/G189,0)</f>
        <v>1.8680981595092025</v>
      </c>
      <c r="H230" s="507">
        <f ca="1">IFERROR('D. Annual Schedule Tables'!H119/H189,0)</f>
        <v>1.8768768768768769</v>
      </c>
      <c r="I230" s="507">
        <f ca="1">IFERROR('D. Annual Schedule Tables'!I119/I189,0)</f>
        <v>1.8797653958944283</v>
      </c>
      <c r="J230" s="507">
        <f ca="1">IFERROR('D. Annual Schedule Tables'!J119/J189,0)</f>
        <v>1.8796561604584527</v>
      </c>
      <c r="K230" s="507">
        <f ca="1">IFERROR('D. Annual Schedule Tables'!K119/K189,0)</f>
        <v>1.8823529411764706</v>
      </c>
      <c r="L230" s="507">
        <f ca="1">IFERROR('D. Annual Schedule Tables'!L119/L189,0)</f>
        <v>1.8821917808219177</v>
      </c>
      <c r="M230" s="507">
        <f ca="1">IFERROR('D. Annual Schedule Tables'!M119/M189,0)</f>
        <v>1.8847184986595173</v>
      </c>
      <c r="N230" s="507">
        <f ca="1">IFERROR('D. Annual Schedule Tables'!N119/N189,0)</f>
        <v>1.8921052631578947</v>
      </c>
      <c r="O230" s="582">
        <f ca="1">IFERROR('D. Annual Schedule Tables'!O119/O189,0)</f>
        <v>1.8917525773195876</v>
      </c>
      <c r="P230" s="467">
        <f t="shared" ca="1" si="88"/>
        <v>1.8917525773195876</v>
      </c>
    </row>
    <row r="231" spans="3:16" s="1" customFormat="1" hidden="1" outlineLevel="1" x14ac:dyDescent="0.3">
      <c r="C231" s="432" t="s">
        <v>676</v>
      </c>
      <c r="E231" s="507">
        <f ca="1">IFERROR('D. Annual Schedule Tables'!E120/E189,0)</f>
        <v>0.13225806451612904</v>
      </c>
      <c r="F231" s="507">
        <f ca="1">IFERROR('D. Annual Schedule Tables'!F120/F189,0)</f>
        <v>0.12893081761006289</v>
      </c>
      <c r="G231" s="507">
        <f ca="1">IFERROR('D. Annual Schedule Tables'!G120/G189,0)</f>
        <v>0.12576687116564417</v>
      </c>
      <c r="H231" s="507">
        <f ca="1">IFERROR('D. Annual Schedule Tables'!H120/H189,0)</f>
        <v>0.12312312312312312</v>
      </c>
      <c r="I231" s="507">
        <f ca="1">IFERROR('D. Annual Schedule Tables'!I120/I189,0)</f>
        <v>0.12023460410557185</v>
      </c>
      <c r="J231" s="507">
        <f ca="1">IFERROR('D. Annual Schedule Tables'!J120/J189,0)</f>
        <v>0.1174785100286533</v>
      </c>
      <c r="K231" s="507">
        <f ca="1">IFERROR('D. Annual Schedule Tables'!K120/K189,0)</f>
        <v>0.11484593837535013</v>
      </c>
      <c r="L231" s="507">
        <f ca="1">IFERROR('D. Annual Schedule Tables'!L120/L189,0)</f>
        <v>0.11232876712328767</v>
      </c>
      <c r="M231" s="507">
        <f ca="1">IFERROR('D. Annual Schedule Tables'!M120/M189,0)</f>
        <v>0.10991957104557641</v>
      </c>
      <c r="N231" s="507">
        <f ca="1">IFERROR('D. Annual Schedule Tables'!N120/N189,0)</f>
        <v>0.10789473684210527</v>
      </c>
      <c r="O231" s="582">
        <f ca="1">IFERROR('D. Annual Schedule Tables'!O120/O189,0)</f>
        <v>0.1056701030927835</v>
      </c>
      <c r="P231" s="467">
        <f t="shared" ca="1" si="88"/>
        <v>0.1056701030927835</v>
      </c>
    </row>
    <row r="232" spans="3:16" s="1" customFormat="1" hidden="1" outlineLevel="1" x14ac:dyDescent="0.3">
      <c r="C232" s="432" t="s">
        <v>677</v>
      </c>
      <c r="E232" s="507">
        <f ca="1">IFERROR('D. Annual Schedule Tables'!E121/E189,0)</f>
        <v>0</v>
      </c>
      <c r="F232" s="507">
        <f ca="1">IFERROR('D. Annual Schedule Tables'!F121/F189,0)</f>
        <v>0</v>
      </c>
      <c r="G232" s="507">
        <f ca="1">IFERROR('D. Annual Schedule Tables'!G121/G189,0)</f>
        <v>0</v>
      </c>
      <c r="H232" s="507">
        <f ca="1">IFERROR('D. Annual Schedule Tables'!H121/H189,0)</f>
        <v>0</v>
      </c>
      <c r="I232" s="507">
        <f ca="1">IFERROR('D. Annual Schedule Tables'!I121/I189,0)</f>
        <v>0</v>
      </c>
      <c r="J232" s="507">
        <f ca="1">IFERROR('D. Annual Schedule Tables'!J121/J189,0)</f>
        <v>0</v>
      </c>
      <c r="K232" s="507">
        <f ca="1">IFERROR('D. Annual Schedule Tables'!K121/K189,0)</f>
        <v>0</v>
      </c>
      <c r="L232" s="507">
        <f ca="1">IFERROR('D. Annual Schedule Tables'!L121/L189,0)</f>
        <v>0</v>
      </c>
      <c r="M232" s="507">
        <f ca="1">IFERROR('D. Annual Schedule Tables'!M121/M189,0)</f>
        <v>0</v>
      </c>
      <c r="N232" s="507">
        <f ca="1">IFERROR('D. Annual Schedule Tables'!N121/N189,0)</f>
        <v>0</v>
      </c>
      <c r="O232" s="582">
        <f ca="1">IFERROR('D. Annual Schedule Tables'!O121/O189,0)</f>
        <v>0</v>
      </c>
      <c r="P232" s="467">
        <f t="shared" ca="1" si="88"/>
        <v>0</v>
      </c>
    </row>
    <row r="233" spans="3:16" s="1" customFormat="1" collapsed="1" x14ac:dyDescent="0.3">
      <c r="C233" s="1" t="s">
        <v>673</v>
      </c>
      <c r="E233" s="506">
        <f ca="1">IFERROR('D. Annual Schedule Tables'!E122/E189,0)</f>
        <v>1.9967741935483871</v>
      </c>
      <c r="F233" s="506">
        <f ca="1">IFERROR('D. Annual Schedule Tables'!F122/F189,0)</f>
        <v>1.9968553459119496</v>
      </c>
      <c r="G233" s="506">
        <f ca="1">IFERROR('D. Annual Schedule Tables'!G122/G189,0)</f>
        <v>1.9938650306748467</v>
      </c>
      <c r="H233" s="506">
        <f ca="1">IFERROR('D. Annual Schedule Tables'!H122/H189,0)</f>
        <v>2</v>
      </c>
      <c r="I233" s="506">
        <f ca="1">IFERROR('D. Annual Schedule Tables'!I122/I189,0)</f>
        <v>2</v>
      </c>
      <c r="J233" s="506">
        <f ca="1">IFERROR('D. Annual Schedule Tables'!J122/J189,0)</f>
        <v>1.997134670487106</v>
      </c>
      <c r="K233" s="506">
        <f ca="1">IFERROR('D. Annual Schedule Tables'!K122/K189,0)</f>
        <v>1.9971988795518207</v>
      </c>
      <c r="L233" s="506">
        <f ca="1">IFERROR('D. Annual Schedule Tables'!L122/L189,0)</f>
        <v>1.9945205479452055</v>
      </c>
      <c r="M233" s="506">
        <f ca="1">IFERROR('D. Annual Schedule Tables'!M122/M189,0)</f>
        <v>1.9946380697050938</v>
      </c>
      <c r="N233" s="506">
        <f ca="1">IFERROR('D. Annual Schedule Tables'!N122/N189,0)</f>
        <v>2</v>
      </c>
      <c r="O233" s="583">
        <f ca="1">IFERROR('D. Annual Schedule Tables'!O122/O189,0)</f>
        <v>1.9974226804123711</v>
      </c>
      <c r="P233" s="474">
        <f t="shared" ca="1" si="88"/>
        <v>1.9974226804123711</v>
      </c>
    </row>
    <row r="234" spans="3:16" s="1" customFormat="1" hidden="1" outlineLevel="1" x14ac:dyDescent="0.3">
      <c r="C234" s="483" t="s">
        <v>735</v>
      </c>
      <c r="E234" s="501">
        <f ca="1">IFERROR(E230*'B. Implementation Plan'!P43/52,0)</f>
        <v>1.2549627791563274</v>
      </c>
      <c r="F234" s="501">
        <f ca="1">IFERROR(F230*'B. Implementation Plan'!P43/52,0)</f>
        <v>1.2572568940493469</v>
      </c>
      <c r="G234" s="501">
        <f ca="1">IFERROR(G230*'B. Implementation Plan'!P43/52,0)</f>
        <v>1.2573737612081171</v>
      </c>
      <c r="H234" s="501">
        <f ca="1">IFERROR(H230*'B. Implementation Plan'!P43/52,0)</f>
        <v>1.2632825132825132</v>
      </c>
      <c r="I234" s="501">
        <f ca="1">IFERROR(I230*'B. Implementation Plan'!P43/52,0)</f>
        <v>1.2652267087750959</v>
      </c>
      <c r="J234" s="501">
        <f ca="1">IFERROR(J230*'B. Implementation Plan'!P43/52,0)</f>
        <v>1.2651531849239588</v>
      </c>
      <c r="K234" s="501">
        <f ca="1">IFERROR(K230*'B. Implementation Plan'!P43/52,0)</f>
        <v>1.2669683257918551</v>
      </c>
      <c r="L234" s="501">
        <f ca="1">IFERROR(L230*'B. Implementation Plan'!P43/52,0)</f>
        <v>1.2668598524762908</v>
      </c>
      <c r="M234" s="501">
        <f ca="1">IFERROR(M230*'B. Implementation Plan'!P43/52,0)</f>
        <v>1.2685605279439058</v>
      </c>
      <c r="N234" s="501">
        <f ca="1">IFERROR(N230*'B. Implementation Plan'!P43/52,0)</f>
        <v>1.2735323886639676</v>
      </c>
      <c r="O234" s="585">
        <f ca="1">IFERROR(O230*'B. Implementation Plan'!P43/52,0)</f>
        <v>1.273295003965107</v>
      </c>
      <c r="P234" s="467">
        <f t="shared" ca="1" si="88"/>
        <v>1.273295003965107</v>
      </c>
    </row>
    <row r="235" spans="3:16" s="1" customFormat="1" hidden="1" outlineLevel="1" x14ac:dyDescent="0.3">
      <c r="C235" s="483" t="s">
        <v>736</v>
      </c>
      <c r="E235" s="501">
        <f ca="1">IFERROR(E231*'B. Implementation Plan'!P44/52,0)</f>
        <v>8.9019851116625304E-2</v>
      </c>
      <c r="F235" s="501">
        <f ca="1">IFERROR(F231*'B. Implementation Plan'!P44/52,0)</f>
        <v>8.6780358006773098E-2</v>
      </c>
      <c r="G235" s="501">
        <f ca="1">IFERROR(G231*'B. Implementation Plan'!P44/52,0)</f>
        <v>8.4650778669183566E-2</v>
      </c>
      <c r="H235" s="501">
        <f ca="1">IFERROR(H231*'B. Implementation Plan'!P44/52,0)</f>
        <v>8.2871332871332873E-2</v>
      </c>
      <c r="I235" s="501">
        <f ca="1">IFERROR(I231*'B. Implementation Plan'!P44/52,0)</f>
        <v>8.0927137378750277E-2</v>
      </c>
      <c r="J235" s="501">
        <f ca="1">IFERROR(J231*'B. Implementation Plan'!P44/52,0)</f>
        <v>7.9072074057747424E-2</v>
      </c>
      <c r="K235" s="501">
        <f ca="1">IFERROR(K231*'B. Implementation Plan'!P44/52,0)</f>
        <v>7.7300150829562597E-2</v>
      </c>
      <c r="L235" s="501">
        <f ca="1">IFERROR(L231*'B. Implementation Plan'!P44/52,0)</f>
        <v>7.5605900948366694E-2</v>
      </c>
      <c r="M235" s="501">
        <f ca="1">IFERROR(M231*'B. Implementation Plan'!P44/52,0)</f>
        <v>7.3984326665291811E-2</v>
      </c>
      <c r="N235" s="501">
        <f ca="1">IFERROR(N231*'B. Implementation Plan'!P44/52,0)</f>
        <v>7.2621457489878541E-2</v>
      </c>
      <c r="O235" s="585">
        <f ca="1">IFERROR(O231*'B. Implementation Plan'!P44/52,0)</f>
        <v>7.1124107850911972E-2</v>
      </c>
      <c r="P235" s="467">
        <f t="shared" ca="1" si="88"/>
        <v>7.1124107850911972E-2</v>
      </c>
    </row>
    <row r="236" spans="3:16" s="1" customFormat="1" hidden="1" outlineLevel="1" x14ac:dyDescent="0.3">
      <c r="C236" s="483" t="s">
        <v>737</v>
      </c>
      <c r="E236" s="501">
        <f ca="1">IFERROR(E232*'B. Implementation Plan'!P45/52,0)</f>
        <v>0</v>
      </c>
      <c r="F236" s="501">
        <f ca="1">IFERROR(F232*'B. Implementation Plan'!P45/52,0)</f>
        <v>0</v>
      </c>
      <c r="G236" s="501">
        <f ca="1">IFERROR(G232*'B. Implementation Plan'!P45/52,0)</f>
        <v>0</v>
      </c>
      <c r="H236" s="501">
        <f ca="1">IFERROR(H232*'B. Implementation Plan'!P45/52,0)</f>
        <v>0</v>
      </c>
      <c r="I236" s="501">
        <f ca="1">IFERROR(I232*'B. Implementation Plan'!P45/52,0)</f>
        <v>0</v>
      </c>
      <c r="J236" s="501">
        <f ca="1">IFERROR(J232*'B. Implementation Plan'!P45/52,0)</f>
        <v>0</v>
      </c>
      <c r="K236" s="501">
        <f ca="1">IFERROR(K232*'B. Implementation Plan'!P45/52,0)</f>
        <v>0</v>
      </c>
      <c r="L236" s="501">
        <f ca="1">IFERROR(L232*'B. Implementation Plan'!P45/52,0)</f>
        <v>0</v>
      </c>
      <c r="M236" s="501">
        <f ca="1">IFERROR(M232*'B. Implementation Plan'!P45/52,0)</f>
        <v>0</v>
      </c>
      <c r="N236" s="501">
        <f ca="1">IFERROR(N232*'B. Implementation Plan'!P45/52,0)</f>
        <v>0</v>
      </c>
      <c r="O236" s="585">
        <f ca="1">IFERROR(O232*'B. Implementation Plan'!P45/52,0)</f>
        <v>0</v>
      </c>
      <c r="P236" s="467">
        <f t="shared" ca="1" si="88"/>
        <v>0</v>
      </c>
    </row>
    <row r="237" spans="3:16" s="1" customFormat="1" collapsed="1" x14ac:dyDescent="0.3">
      <c r="C237" s="409" t="s">
        <v>742</v>
      </c>
      <c r="E237" s="472">
        <f ca="1">IFERROR(SUMPRODUCT(E230:E232,'B. Implementation Plan'!P43:P45)/52,0)</f>
        <v>1.3439826302729527</v>
      </c>
      <c r="F237" s="472">
        <f ca="1">IFERROR(SUMPRODUCT(F230:F232,'B. Implementation Plan'!P43:P45)/52,0)</f>
        <v>1.3440372520561199</v>
      </c>
      <c r="G237" s="472">
        <f ca="1">IFERROR(SUMPRODUCT(G230:G232,'B. Implementation Plan'!P43:P45)/52,0)</f>
        <v>1.3420245398773005</v>
      </c>
      <c r="H237" s="472">
        <f ca="1">IFERROR(SUMPRODUCT(H230:H232,'B. Implementation Plan'!P43:P45)/52,0)</f>
        <v>1.3461538461538463</v>
      </c>
      <c r="I237" s="472">
        <f ca="1">IFERROR(SUMPRODUCT(I230:I232,'B. Implementation Plan'!P43:P45)/52,0)</f>
        <v>1.3461538461538463</v>
      </c>
      <c r="J237" s="472">
        <f ca="1">IFERROR(SUMPRODUCT(J230:J232,'B. Implementation Plan'!P43:P45)/52,0)</f>
        <v>1.3442252589817061</v>
      </c>
      <c r="K237" s="472">
        <f ca="1">IFERROR(SUMPRODUCT(K230:K232,'B. Implementation Plan'!P43:P45)/52,0)</f>
        <v>1.3442684766214177</v>
      </c>
      <c r="L237" s="472">
        <f ca="1">IFERROR(SUMPRODUCT(L230:L232,'B. Implementation Plan'!P43:P45)/52,0)</f>
        <v>1.3424657534246576</v>
      </c>
      <c r="M237" s="472">
        <f ca="1">IFERROR(SUMPRODUCT(M230:M232,'B. Implementation Plan'!P43:P45)/52,0)</f>
        <v>1.3425448546091978</v>
      </c>
      <c r="N237" s="472">
        <f ca="1">IFERROR(SUMPRODUCT(N230:N232,'B. Implementation Plan'!P43:P45)/52,0)</f>
        <v>1.3461538461538463</v>
      </c>
      <c r="O237" s="473">
        <f ca="1">IFERROR(SUMPRODUCT(O230:O232,'B. Implementation Plan'!P43:P45)/52,0)</f>
        <v>1.3444191118160189</v>
      </c>
      <c r="P237" s="474">
        <f t="shared" ca="1" si="88"/>
        <v>1.3444191118160189</v>
      </c>
    </row>
    <row r="238" spans="3:16" s="1" customFormat="1" hidden="1" outlineLevel="1" x14ac:dyDescent="0.3">
      <c r="C238" s="433" t="s">
        <v>654</v>
      </c>
      <c r="E238" s="465">
        <f ca="1">IFERROR('D. Annual Schedule Tables'!E714/(E233*E189),0)</f>
        <v>0.6607431340872375</v>
      </c>
      <c r="F238" s="465">
        <f ca="1">IFERROR('D. Annual Schedule Tables'!F714/(F233*F189),0)</f>
        <v>0.65826771653543303</v>
      </c>
      <c r="G238" s="465">
        <f ca="1">IFERROR('D. Annual Schedule Tables'!G714/(G233*G189),0)</f>
        <v>0.76461538461538459</v>
      </c>
      <c r="H238" s="465">
        <f ca="1">IFERROR('D. Annual Schedule Tables'!H714/(H233*H189),0)</f>
        <v>0.7642642642642643</v>
      </c>
      <c r="I238" s="465">
        <f ca="1">IFERROR('D. Annual Schedule Tables'!I714/(I233*I189),0)</f>
        <v>0.76099706744868034</v>
      </c>
      <c r="J238" s="465">
        <f ca="1">IFERROR('D. Annual Schedule Tables'!J714/(J233*J189),0)</f>
        <v>0.76183644189383071</v>
      </c>
      <c r="K238" s="465">
        <f ca="1">IFERROR('D. Annual Schedule Tables'!K714/(K233*K189),0)</f>
        <v>0.76016830294530158</v>
      </c>
      <c r="L238" s="465">
        <f ca="1">IFERROR('D. Annual Schedule Tables'!L714/(L233*L189),0)</f>
        <v>0.76098901098901095</v>
      </c>
      <c r="M238" s="465">
        <f ca="1">IFERROR('D. Annual Schedule Tables'!M714/(M233*M189),0)</f>
        <v>0.760752688172043</v>
      </c>
      <c r="N238" s="465">
        <f ca="1">IFERROR('D. Annual Schedule Tables'!N714/(N233*N189),0)</f>
        <v>0.76184210526315788</v>
      </c>
      <c r="O238" s="586">
        <f ca="1">IFERROR('D. Annual Schedule Tables'!O714/(O233*O189),0)</f>
        <v>0.76258064516129032</v>
      </c>
      <c r="P238" s="466">
        <f t="shared" ca="1" si="88"/>
        <v>0.76258064516129032</v>
      </c>
    </row>
    <row r="239" spans="3:16" s="1" customFormat="1" hidden="1" outlineLevel="1" x14ac:dyDescent="0.3">
      <c r="C239" s="483" t="s">
        <v>738</v>
      </c>
      <c r="E239" s="502">
        <f ca="1">IFERROR(E238*E234,0)</f>
        <v>0.8292080398625814</v>
      </c>
      <c r="F239" s="502">
        <f t="shared" ref="F239:O239" ca="1" si="135">IFERROR(F238*F234,0)</f>
        <v>0.82761162474429451</v>
      </c>
      <c r="G239" s="502">
        <f t="shared" ca="1" si="135"/>
        <v>0.96140732203143719</v>
      </c>
      <c r="H239" s="502">
        <f t="shared" ca="1" si="135"/>
        <v>0.96548168057177064</v>
      </c>
      <c r="I239" s="502">
        <f t="shared" ca="1" si="135"/>
        <v>0.96283381503559351</v>
      </c>
      <c r="J239" s="502">
        <f t="shared" ca="1" si="135"/>
        <v>0.96383980085311638</v>
      </c>
      <c r="K239" s="502">
        <f t="shared" ca="1" si="135"/>
        <v>0.96310916210264452</v>
      </c>
      <c r="L239" s="502">
        <f t="shared" ca="1" si="135"/>
        <v>0.96406642619761684</v>
      </c>
      <c r="M239" s="502">
        <f t="shared" ca="1" si="135"/>
        <v>0.96506083174227242</v>
      </c>
      <c r="N239" s="502">
        <f t="shared" ca="1" si="135"/>
        <v>0.97023059610057527</v>
      </c>
      <c r="O239" s="587">
        <f t="shared" ca="1" si="135"/>
        <v>0.97099012560435893</v>
      </c>
      <c r="P239" s="467">
        <f t="shared" ca="1" si="88"/>
        <v>0.97099012560435893</v>
      </c>
    </row>
    <row r="240" spans="3:16" s="1" customFormat="1" hidden="1" outlineLevel="1" x14ac:dyDescent="0.3">
      <c r="C240" s="483" t="s">
        <v>739</v>
      </c>
      <c r="E240" s="502">
        <f ca="1">IFERROR(E238*E235,0)</f>
        <v>5.8819255422778272E-2</v>
      </c>
      <c r="F240" s="502">
        <f t="shared" ref="F240:O240" ca="1" si="136">IFERROR(F238*F235,0)</f>
        <v>5.7124708105245912E-2</v>
      </c>
      <c r="G240" s="502">
        <f t="shared" ca="1" si="136"/>
        <v>6.4725287690129585E-2</v>
      </c>
      <c r="H240" s="502">
        <f t="shared" ca="1" si="136"/>
        <v>6.3335598245508162E-2</v>
      </c>
      <c r="I240" s="502">
        <f t="shared" ca="1" si="136"/>
        <v>6.1585314222245446E-2</v>
      </c>
      <c r="J240" s="502">
        <f t="shared" ca="1" si="136"/>
        <v>6.0239987553319774E-2</v>
      </c>
      <c r="K240" s="502">
        <f t="shared" ca="1" si="136"/>
        <v>5.8761124473524447E-2</v>
      </c>
      <c r="L240" s="502">
        <f t="shared" ca="1" si="136"/>
        <v>5.7535259787630695E-2</v>
      </c>
      <c r="M240" s="502">
        <f t="shared" ca="1" si="136"/>
        <v>5.6283775393219306E-2</v>
      </c>
      <c r="N240" s="502">
        <f t="shared" ca="1" si="136"/>
        <v>5.5326084061367992E-2</v>
      </c>
      <c r="O240" s="587">
        <f t="shared" ca="1" si="136"/>
        <v>5.4237868051469643E-2</v>
      </c>
      <c r="P240" s="467">
        <f t="shared" ca="1" si="88"/>
        <v>5.4237868051469643E-2</v>
      </c>
    </row>
    <row r="241" spans="1:16" s="1" customFormat="1" hidden="1" outlineLevel="1" x14ac:dyDescent="0.3">
      <c r="C241" s="483" t="s">
        <v>740</v>
      </c>
      <c r="E241" s="502">
        <f ca="1">IFERROR(E238*E236,0)</f>
        <v>0</v>
      </c>
      <c r="F241" s="502">
        <f t="shared" ref="F241:O241" ca="1" si="137">IFERROR(F238*F236,0)</f>
        <v>0</v>
      </c>
      <c r="G241" s="502">
        <f t="shared" ca="1" si="137"/>
        <v>0</v>
      </c>
      <c r="H241" s="502">
        <f t="shared" ca="1" si="137"/>
        <v>0</v>
      </c>
      <c r="I241" s="502">
        <f t="shared" ca="1" si="137"/>
        <v>0</v>
      </c>
      <c r="J241" s="502">
        <f t="shared" ca="1" si="137"/>
        <v>0</v>
      </c>
      <c r="K241" s="502">
        <f t="shared" ca="1" si="137"/>
        <v>0</v>
      </c>
      <c r="L241" s="502">
        <f t="shared" ca="1" si="137"/>
        <v>0</v>
      </c>
      <c r="M241" s="502">
        <f t="shared" ca="1" si="137"/>
        <v>0</v>
      </c>
      <c r="N241" s="502">
        <f t="shared" ca="1" si="137"/>
        <v>0</v>
      </c>
      <c r="O241" s="587">
        <f t="shared" ca="1" si="137"/>
        <v>0</v>
      </c>
      <c r="P241" s="467">
        <f t="shared" ca="1" si="88"/>
        <v>0</v>
      </c>
    </row>
    <row r="242" spans="1:16" collapsed="1" x14ac:dyDescent="0.3">
      <c r="C242" s="433" t="s">
        <v>658</v>
      </c>
      <c r="E242" s="468">
        <f t="shared" ref="E242:O242" ca="1" si="138">IFERROR(E238*E237,0)</f>
        <v>0.88802729528535973</v>
      </c>
      <c r="F242" s="468">
        <f t="shared" ca="1" si="138"/>
        <v>0.88473633284954034</v>
      </c>
      <c r="G242" s="468">
        <f t="shared" ca="1" si="138"/>
        <v>1.0261326097215666</v>
      </c>
      <c r="H242" s="468">
        <f t="shared" ca="1" si="138"/>
        <v>1.0288172788172789</v>
      </c>
      <c r="I242" s="468">
        <f t="shared" ca="1" si="138"/>
        <v>1.0244191292578391</v>
      </c>
      <c r="J242" s="468">
        <f t="shared" ca="1" si="138"/>
        <v>1.0240797884064361</v>
      </c>
      <c r="K242" s="468">
        <f t="shared" ca="1" si="138"/>
        <v>1.0218702865761689</v>
      </c>
      <c r="L242" s="468">
        <f t="shared" ca="1" si="138"/>
        <v>1.0216016859852477</v>
      </c>
      <c r="M242" s="468">
        <f t="shared" ca="1" si="138"/>
        <v>1.0213446071354919</v>
      </c>
      <c r="N242" s="468">
        <f t="shared" ca="1" si="138"/>
        <v>1.0255566801619433</v>
      </c>
      <c r="O242" s="471">
        <f t="shared" ca="1" si="138"/>
        <v>1.0252279936558286</v>
      </c>
      <c r="P242" s="467">
        <f t="shared" ca="1" si="88"/>
        <v>1.0252279936558286</v>
      </c>
    </row>
    <row r="243" spans="1:16" x14ac:dyDescent="0.3">
      <c r="C243" s="470" t="s">
        <v>674</v>
      </c>
      <c r="E243" s="468">
        <f ca="1">IF(E189&gt;0,'B. Implementation Plan'!L382,0)</f>
        <v>2</v>
      </c>
      <c r="F243" s="468">
        <f ca="1">IF(F189&gt;0,'B. Implementation Plan'!L382,0)</f>
        <v>2</v>
      </c>
      <c r="G243" s="468">
        <f ca="1">IF(G189&gt;0,'B. Implementation Plan'!L382,0)</f>
        <v>2</v>
      </c>
      <c r="H243" s="468">
        <f ca="1">IF(H189&gt;0,'B. Implementation Plan'!L382,0)</f>
        <v>2</v>
      </c>
      <c r="I243" s="468">
        <f ca="1">IF(I189&gt;0,'B. Implementation Plan'!L382,0)</f>
        <v>2</v>
      </c>
      <c r="J243" s="468">
        <f ca="1">IF(J189&gt;0,'B. Implementation Plan'!L382,0)</f>
        <v>2</v>
      </c>
      <c r="K243" s="468">
        <f ca="1">IF(K189&gt;0,'B. Implementation Plan'!L382,0)</f>
        <v>2</v>
      </c>
      <c r="L243" s="468">
        <f ca="1">IF(L189&gt;0,'B. Implementation Plan'!L382,0)</f>
        <v>2</v>
      </c>
      <c r="M243" s="468">
        <f ca="1">IF(M189&gt;0,'B. Implementation Plan'!L382,0)</f>
        <v>2</v>
      </c>
      <c r="N243" s="468">
        <f ca="1">IF(N189&gt;0,'B. Implementation Plan'!L382,0)</f>
        <v>2</v>
      </c>
      <c r="O243" s="471">
        <f ca="1">IF(O189&gt;0,'B. Implementation Plan'!L382,0)</f>
        <v>2</v>
      </c>
      <c r="P243" s="467">
        <f ca="1">IF(O243=0,IF(N243=0,IF(M243=0,IF(L243=0,IF(K243=0,IF(J243=0,IF(I243=0,IF(H243=0,IF(G243=0,IF(F243=0,E243,F243),G243),H243),I243),J243),K243),L243),M243),N243),O243)</f>
        <v>2</v>
      </c>
    </row>
    <row r="244" spans="1:16" x14ac:dyDescent="0.3">
      <c r="C244" s="470" t="s">
        <v>836</v>
      </c>
      <c r="E244" s="468">
        <f ca="1">IF(E189&gt;0,'B. Implementation Plan'!L381,0)</f>
        <v>1.36</v>
      </c>
      <c r="F244" s="468">
        <f ca="1">IF(F189&gt;0,'B. Implementation Plan'!L381,0)</f>
        <v>1.36</v>
      </c>
      <c r="G244" s="468">
        <f ca="1">IF(G189&gt;0,'B. Implementation Plan'!L381,0)</f>
        <v>1.36</v>
      </c>
      <c r="H244" s="468">
        <f ca="1">IF(H189&gt;0,'B. Implementation Plan'!L381,0)</f>
        <v>1.36</v>
      </c>
      <c r="I244" s="468">
        <f ca="1">IF(I189&gt;0,'B. Implementation Plan'!L381,0)</f>
        <v>1.36</v>
      </c>
      <c r="J244" s="468">
        <f ca="1">IF(J189&gt;0,'B. Implementation Plan'!L381,0)</f>
        <v>1.36</v>
      </c>
      <c r="K244" s="468">
        <f ca="1">IF(K189&gt;0,'B. Implementation Plan'!L381,0)</f>
        <v>1.36</v>
      </c>
      <c r="L244" s="468">
        <f ca="1">IF(L189&gt;0,'B. Implementation Plan'!L381,0)</f>
        <v>1.36</v>
      </c>
      <c r="M244" s="468">
        <f ca="1">IF(M189&gt;0,'B. Implementation Plan'!L381,0)</f>
        <v>1.36</v>
      </c>
      <c r="N244" s="468">
        <f ca="1">IF(N189&gt;0,'B. Implementation Plan'!L381,0)</f>
        <v>1.36</v>
      </c>
      <c r="O244" s="471">
        <f ca="1">IF(O189&gt;0,'B. Implementation Plan'!L381,0)</f>
        <v>1.36</v>
      </c>
      <c r="P244" s="467">
        <f t="shared" ca="1" si="88"/>
        <v>1.36</v>
      </c>
    </row>
    <row r="245" spans="1:16" s="1" customFormat="1" x14ac:dyDescent="0.3">
      <c r="C245" s="409" t="s">
        <v>681</v>
      </c>
      <c r="E245" s="472">
        <f ca="1">E209+E237+SUM(E243:E244)</f>
        <v>6.0501364764267995</v>
      </c>
      <c r="F245" s="472">
        <f t="shared" ref="F245:O245" ca="1" si="139">F209+F237+SUM(F243:F244)</f>
        <v>6.0480745041122397</v>
      </c>
      <c r="G245" s="472">
        <f t="shared" ca="1" si="139"/>
        <v>6.0461137328928745</v>
      </c>
      <c r="H245" s="472">
        <f t="shared" ca="1" si="139"/>
        <v>6.0523076923076928</v>
      </c>
      <c r="I245" s="472">
        <f t="shared" ca="1" si="139"/>
        <v>6.0523076923076928</v>
      </c>
      <c r="J245" s="472">
        <f t="shared" ca="1" si="139"/>
        <v>6.0503791051355531</v>
      </c>
      <c r="K245" s="472">
        <f t="shared" ca="1" si="139"/>
        <v>6.0485369532428361</v>
      </c>
      <c r="L245" s="472">
        <f t="shared" ca="1" si="139"/>
        <v>6.0467755532139096</v>
      </c>
      <c r="M245" s="472">
        <f t="shared" ca="1" si="139"/>
        <v>6.0468942049907204</v>
      </c>
      <c r="N245" s="472">
        <f t="shared" ca="1" si="139"/>
        <v>6.0523076923076928</v>
      </c>
      <c r="O245" s="473">
        <f t="shared" ca="1" si="139"/>
        <v>6.0505729579698659</v>
      </c>
      <c r="P245" s="474">
        <f t="shared" ca="1" si="88"/>
        <v>6.0505729579698659</v>
      </c>
    </row>
    <row r="246" spans="1:16" s="1" customFormat="1" x14ac:dyDescent="0.3">
      <c r="C246" s="470" t="s">
        <v>751</v>
      </c>
      <c r="E246" s="372">
        <f ca="1">IFERROR('D. Annual Schedule Tables'!E731/E189,0)</f>
        <v>119.90322580645162</v>
      </c>
      <c r="F246" s="372">
        <f ca="1">IFERROR('D. Annual Schedule Tables'!F731/F189,0)</f>
        <v>119.81132075471699</v>
      </c>
      <c r="G246" s="372">
        <f ca="1">IFERROR('D. Annual Schedule Tables'!G731/G189,0)</f>
        <v>119.7239263803681</v>
      </c>
      <c r="H246" s="372">
        <f ca="1">IFERROR('D. Annual Schedule Tables'!H731/H189,0)</f>
        <v>120</v>
      </c>
      <c r="I246" s="372">
        <f ca="1">IFERROR('D. Annual Schedule Tables'!I731/I189,0)</f>
        <v>120</v>
      </c>
      <c r="J246" s="372">
        <f ca="1">IFERROR('D. Annual Schedule Tables'!J731/J189,0)</f>
        <v>119.91404011461319</v>
      </c>
      <c r="K246" s="372">
        <f ca="1">IFERROR('D. Annual Schedule Tables'!K731/K189,0)</f>
        <v>119.83193277310924</v>
      </c>
      <c r="L246" s="372">
        <f ca="1">IFERROR('D. Annual Schedule Tables'!L731/L189,0)</f>
        <v>119.75342465753425</v>
      </c>
      <c r="M246" s="372">
        <f ca="1">IFERROR('D. Annual Schedule Tables'!M731/M189,0)</f>
        <v>119.75871313672923</v>
      </c>
      <c r="N246" s="372">
        <f ca="1">IFERROR('D. Annual Schedule Tables'!N731/N189,0)</f>
        <v>120</v>
      </c>
      <c r="O246" s="588">
        <f ca="1">IFERROR('D. Annual Schedule Tables'!O731/O189,0)</f>
        <v>119.92268041237114</v>
      </c>
      <c r="P246" s="434">
        <f t="shared" ca="1" si="88"/>
        <v>119.92268041237114</v>
      </c>
    </row>
    <row r="247" spans="1:16" s="1" customFormat="1" ht="15" thickBot="1" x14ac:dyDescent="0.35">
      <c r="C247" s="470" t="s">
        <v>810</v>
      </c>
      <c r="E247" s="468">
        <f t="shared" ref="E247:O247" ca="1" si="140">E209+E237+E243</f>
        <v>4.6901364764267992</v>
      </c>
      <c r="F247" s="468">
        <f t="shared" ca="1" si="140"/>
        <v>4.6880745041122402</v>
      </c>
      <c r="G247" s="468">
        <f t="shared" ca="1" si="140"/>
        <v>4.6861137328928741</v>
      </c>
      <c r="H247" s="468">
        <f t="shared" ca="1" si="140"/>
        <v>4.6923076923076925</v>
      </c>
      <c r="I247" s="468">
        <f t="shared" ca="1" si="140"/>
        <v>4.6923076923076925</v>
      </c>
      <c r="J247" s="468">
        <f t="shared" ca="1" si="140"/>
        <v>4.6903791051355519</v>
      </c>
      <c r="K247" s="468">
        <f t="shared" ca="1" si="140"/>
        <v>4.6885369532428349</v>
      </c>
      <c r="L247" s="468">
        <f t="shared" ca="1" si="140"/>
        <v>4.6867755532139093</v>
      </c>
      <c r="M247" s="468">
        <f t="shared" ca="1" si="140"/>
        <v>4.6868942049907201</v>
      </c>
      <c r="N247" s="468">
        <f t="shared" ca="1" si="140"/>
        <v>4.6923076923076925</v>
      </c>
      <c r="O247" s="471">
        <f t="shared" ca="1" si="140"/>
        <v>4.6905729579698647</v>
      </c>
      <c r="P247" s="536">
        <f t="shared" ca="1" si="88"/>
        <v>4.6905729579698647</v>
      </c>
    </row>
    <row r="248" spans="1:16" x14ac:dyDescent="0.3">
      <c r="P248"/>
    </row>
    <row r="249" spans="1:16" ht="18" x14ac:dyDescent="0.35">
      <c r="A249" s="239" t="s">
        <v>798</v>
      </c>
      <c r="B249" s="240"/>
      <c r="C249" s="241"/>
    </row>
    <row r="250" spans="1:16" x14ac:dyDescent="0.3">
      <c r="P250"/>
    </row>
    <row r="251" spans="1:16" ht="16.2" thickBot="1" x14ac:dyDescent="0.35">
      <c r="B251" s="253" t="s">
        <v>690</v>
      </c>
      <c r="C251" s="254"/>
      <c r="E251" s="469"/>
      <c r="P251"/>
    </row>
    <row r="252" spans="1:16" s="365" customFormat="1" ht="14.55" customHeight="1" x14ac:dyDescent="0.3">
      <c r="A252" s="1"/>
      <c r="B252" s="62"/>
      <c r="D252" s="394"/>
      <c r="E252" s="294">
        <v>0</v>
      </c>
      <c r="F252" s="294">
        <v>1</v>
      </c>
      <c r="G252" s="294">
        <v>2</v>
      </c>
      <c r="H252" s="294">
        <v>3</v>
      </c>
      <c r="I252" s="294">
        <v>4</v>
      </c>
      <c r="J252" s="294">
        <v>5</v>
      </c>
      <c r="K252" s="294">
        <v>6</v>
      </c>
      <c r="L252" s="294">
        <v>7</v>
      </c>
      <c r="M252" s="294">
        <v>8</v>
      </c>
      <c r="N252" s="294">
        <v>9</v>
      </c>
      <c r="O252" s="295">
        <v>10</v>
      </c>
      <c r="P252" s="395" t="s">
        <v>2</v>
      </c>
    </row>
    <row r="253" spans="1:16" x14ac:dyDescent="0.3">
      <c r="C253" s="396" t="s">
        <v>901</v>
      </c>
      <c r="E253" s="482">
        <f ca="1">E214*'B. Implementation Plan'!P388*2080*(1+E19)^E252</f>
        <v>70831.923076923078</v>
      </c>
      <c r="F253" s="482">
        <f ca="1">F214*'B. Implementation Plan'!P388*2080*(1+E19)^F252</f>
        <v>71852.080962747947</v>
      </c>
      <c r="G253" s="482">
        <f ca="1">G214*'B. Implementation Plan'!P388*2080*(1+E19)^G252</f>
        <v>73004.535444152905</v>
      </c>
      <c r="H253" s="482">
        <f ca="1">H214*'B. Implementation Plan'!P388*2080*(1+E19)^H252</f>
        <v>74286.544429095389</v>
      </c>
      <c r="I253" s="482">
        <f ca="1">I214*'B. Implementation Plan'!P388*2080*(1+E19)^I252</f>
        <v>75475.129139960918</v>
      </c>
      <c r="J253" s="482">
        <f ca="1">J214*'B. Implementation Plan'!P388*2080*(1+E19)^J252</f>
        <v>76682.731206200289</v>
      </c>
      <c r="K253" s="482">
        <f ca="1">K214*'B. Implementation Plan'!P388*2080*(1+E19)^K252</f>
        <v>77800.537741766282</v>
      </c>
      <c r="L253" s="482">
        <f ca="1">L214*'B. Implementation Plan'!P388*2080*(1+E19)^L252</f>
        <v>79047.776220447791</v>
      </c>
      <c r="M253" s="482">
        <f ca="1">M214*'B. Implementation Plan'!P388*2080*(1+E19)^M252</f>
        <v>80314.903494541315</v>
      </c>
      <c r="N253" s="482">
        <f ca="1">N214*'B. Implementation Plan'!P388*2080*(1+E19)^N252</f>
        <v>81709.47207387739</v>
      </c>
      <c r="O253" s="482">
        <f ca="1">O214*'B. Implementation Plan'!P388*2080*(1+E19)^O252</f>
        <v>83016.823627059435</v>
      </c>
      <c r="P253" s="488">
        <f ca="1">IF(O253=0,IF(N253=0,IF(M253=0,IF(L253=0,IF(K253=0,IF(J253=0,IF(I253=0,IF(H253=0,IF(G253=0,IF(F253=0,E89,F253),G253),H253),I253),J253),K253),L253),M253),N253),O253)</f>
        <v>83016.823627059435</v>
      </c>
    </row>
    <row r="254" spans="1:16" x14ac:dyDescent="0.3">
      <c r="C254" s="396" t="s">
        <v>902</v>
      </c>
      <c r="E254" s="482">
        <f ca="1">E219*'B. Implementation Plan'!P387*2080*(1+E19)^E252</f>
        <v>0</v>
      </c>
      <c r="F254" s="482">
        <f ca="1">F219*'B. Implementation Plan'!P387*2080*(1+E19)^F252</f>
        <v>0</v>
      </c>
      <c r="G254" s="482">
        <f ca="1">G219*'B. Implementation Plan'!P387*2080*(1+E19)^G252</f>
        <v>0</v>
      </c>
      <c r="H254" s="482">
        <f ca="1">H219*'B. Implementation Plan'!P387*2080*(1+E19)^H252</f>
        <v>0</v>
      </c>
      <c r="I254" s="482">
        <f ca="1">I219*'B. Implementation Plan'!P387*2080*(1+E19)^I252</f>
        <v>0</v>
      </c>
      <c r="J254" s="482">
        <f ca="1">J219*'B. Implementation Plan'!P387*2080*(1+E19)^J252</f>
        <v>0</v>
      </c>
      <c r="K254" s="482">
        <f ca="1">K219*'B. Implementation Plan'!P387*2080*(1+E19)^K252</f>
        <v>0</v>
      </c>
      <c r="L254" s="482">
        <f ca="1">L219*'B. Implementation Plan'!P387*2080*(1+E19)^L252</f>
        <v>0</v>
      </c>
      <c r="M254" s="482">
        <f ca="1">M219*'B. Implementation Plan'!P387*2080*(1+E19)^M252</f>
        <v>0</v>
      </c>
      <c r="N254" s="482">
        <f ca="1">N219*'B. Implementation Plan'!P387*2080*(1+E19)^N252</f>
        <v>0</v>
      </c>
      <c r="O254" s="482">
        <f ca="1">O219*'B. Implementation Plan'!P387*2080*(1+E19)^O252</f>
        <v>0</v>
      </c>
      <c r="P254" s="488">
        <f ca="1">IF(O254=0,IF(N254=0,IF(M254=0,IF(L254=0,IF(K254=0,IF(J254=0,IF(I254=0,IF(H254=0,IF(G254=0,IF(F254=0,E90,F254),G254),H254),I254),J254),K254),L254),M254),N254),O254)</f>
        <v>0</v>
      </c>
    </row>
    <row r="255" spans="1:16" x14ac:dyDescent="0.3">
      <c r="C255" s="396" t="s">
        <v>903</v>
      </c>
      <c r="E255" s="482">
        <f ca="1">E224*'B. Implementation Plan'!P386*2080*(1+E19)^E252</f>
        <v>0</v>
      </c>
      <c r="F255" s="482">
        <f ca="1">F224*'B. Implementation Plan'!P386*2080*(1+E19)^F252</f>
        <v>0</v>
      </c>
      <c r="G255" s="482">
        <f ca="1">G224*'B. Implementation Plan'!P386*2080*(1+E19)^G252</f>
        <v>0</v>
      </c>
      <c r="H255" s="482">
        <f ca="1">H224*'B. Implementation Plan'!P386*2080*(1+E19)^H252</f>
        <v>0</v>
      </c>
      <c r="I255" s="482">
        <f ca="1">I224*'B. Implementation Plan'!P386*2080*(1+E19)^I252</f>
        <v>0</v>
      </c>
      <c r="J255" s="482">
        <f ca="1">J224*'B. Implementation Plan'!P386*2080*(1+E19)^J252</f>
        <v>0</v>
      </c>
      <c r="K255" s="482">
        <f ca="1">K224*'B. Implementation Plan'!P386*2080*(1+E19)^K252</f>
        <v>0</v>
      </c>
      <c r="L255" s="482">
        <f ca="1">L224*'B. Implementation Plan'!P386*2080*(1+E19)^L252</f>
        <v>0</v>
      </c>
      <c r="M255" s="482">
        <f ca="1">M224*'B. Implementation Plan'!P386*2080*(1+E19)^M252</f>
        <v>0</v>
      </c>
      <c r="N255" s="482">
        <f ca="1">N224*'B. Implementation Plan'!P386*2080*(1+E19)^N252</f>
        <v>0</v>
      </c>
      <c r="O255" s="482">
        <f ca="1">O224*'B. Implementation Plan'!P386*2080*(1+E19)^O252</f>
        <v>0</v>
      </c>
      <c r="P255" s="488">
        <f ca="1">IF(O255=0,IF(N255=0,IF(M255=0,IF(L255=0,IF(K255=0,IF(J255=0,IF(I255=0,IF(H255=0,IF(G255=0,IF(F255=0,E91,F255),G255),H255),I255),J255),K255),L255),M255),N255),O255)</f>
        <v>0</v>
      </c>
    </row>
    <row r="256" spans="1:16" x14ac:dyDescent="0.3">
      <c r="C256" s="396" t="s">
        <v>678</v>
      </c>
      <c r="E256" s="482">
        <f ca="1">E229*'B. Implementation Plan'!P179*(1+E19)^E252</f>
        <v>0</v>
      </c>
      <c r="F256" s="482">
        <f ca="1">F229*'B. Implementation Plan'!P179*(1+E19)^F252</f>
        <v>0</v>
      </c>
      <c r="G256" s="482">
        <f ca="1">G229*'B. Implementation Plan'!P179*(1+E19)^G252</f>
        <v>0</v>
      </c>
      <c r="H256" s="482">
        <f ca="1">H229*'B. Implementation Plan'!P179*(1+E19)^H252</f>
        <v>0</v>
      </c>
      <c r="I256" s="482">
        <f ca="1">I229*'B. Implementation Plan'!P179*(1+E19)^I252</f>
        <v>0</v>
      </c>
      <c r="J256" s="482">
        <f ca="1">J229*'B. Implementation Plan'!P179*(1+E19)^J252</f>
        <v>0</v>
      </c>
      <c r="K256" s="482">
        <f ca="1">K229*'B. Implementation Plan'!P179*(1+E19)^K252</f>
        <v>0</v>
      </c>
      <c r="L256" s="482">
        <f ca="1">L229*'B. Implementation Plan'!P179*(1+E19)^L252</f>
        <v>0</v>
      </c>
      <c r="M256" s="482">
        <f ca="1">M229*'B. Implementation Plan'!P179*(1+E19)^M252</f>
        <v>0</v>
      </c>
      <c r="N256" s="482">
        <f ca="1">N229*'B. Implementation Plan'!P179*(1+E19)^N252</f>
        <v>0</v>
      </c>
      <c r="O256" s="482">
        <f ca="1">O229*'B. Implementation Plan'!P179*(1+E19)^O252</f>
        <v>0</v>
      </c>
      <c r="P256" s="488">
        <f t="shared" ref="P256:P267" ca="1" si="141">IF(O256=0,IF(N256=0,IF(M256=0,IF(L256=0,IF(K256=0,IF(J256=0,IF(I256=0,IF(H256=0,IF(G256=0,IF(F256=0,E256,F256),G256),H256),I256),J256),K256),L256),M256),N256),O256)</f>
        <v>0</v>
      </c>
    </row>
    <row r="257" spans="1:16" x14ac:dyDescent="0.3">
      <c r="C257" s="396" t="s">
        <v>904</v>
      </c>
      <c r="E257" s="482">
        <f ca="1">E242*'B. Implementation Plan'!P390*2080*(1+E19)^E252</f>
        <v>18389.26923076923</v>
      </c>
      <c r="F257" s="482">
        <f ca="1">F242*'B. Implementation Plan'!P390*2080*(1+E19)^F252</f>
        <v>18614.257900338653</v>
      </c>
      <c r="G257" s="482">
        <f ca="1">G242*'B. Implementation Plan'!P390*2080*(1+E19)^G252</f>
        <v>21934.566796186882</v>
      </c>
      <c r="H257" s="482">
        <f ca="1">H242*'B. Implementation Plan'!P390*2080*(1+E19)^H252</f>
        <v>22343.825434689879</v>
      </c>
      <c r="I257" s="482">
        <f ca="1">I242*'B. Implementation Plan'!P390*2080*(1+E19)^I252</f>
        <v>22604.27944791735</v>
      </c>
      <c r="J257" s="482">
        <f ca="1">J242*'B. Implementation Plan'!P390*2080*(1+E19)^J252</f>
        <v>22958.34040366621</v>
      </c>
      <c r="K257" s="482">
        <f ca="1">K242*'B. Implementation Plan'!P390*2080*(1+E19)^K252</f>
        <v>23275.34757706731</v>
      </c>
      <c r="L257" s="482">
        <f ca="1">L242*'B. Implementation Plan'!P390*2080*(1+E19)^L252</f>
        <v>23641.537280426503</v>
      </c>
      <c r="M257" s="482">
        <f ca="1">M242*'B. Implementation Plan'!P390*2080*(1+E19)^M252</f>
        <v>24013.757463398168</v>
      </c>
      <c r="N257" s="482">
        <f ca="1">N242*'B. Implementation Plan'!P390*2080*(1+E19)^N252</f>
        <v>24498.595985806565</v>
      </c>
      <c r="O257" s="482">
        <f ca="1">O242*'B. Implementation Plan'!P390*2080*(1+E19)^O252</f>
        <v>24882.596199794865</v>
      </c>
      <c r="P257" s="488">
        <f t="shared" ca="1" si="141"/>
        <v>24882.596199794865</v>
      </c>
    </row>
    <row r="258" spans="1:16" x14ac:dyDescent="0.3">
      <c r="C258" s="396" t="s">
        <v>905</v>
      </c>
      <c r="E258" s="482">
        <f ca="1">(E237-E242)*'B. Implementation Plan'!P389*2080*(1+E19)^E252</f>
        <v>9441.9230769230762</v>
      </c>
      <c r="F258" s="482">
        <f ca="1">(F237-F242)*'B. Implementation Plan'!P389*2080*(1+E19)^F252</f>
        <v>9663.3826898887273</v>
      </c>
      <c r="G258" s="482">
        <f ca="1">(G237-G242)*'B. Implementation Plan'!P389*2080*(1+E19)^G252</f>
        <v>6752.4923939971704</v>
      </c>
      <c r="H258" s="482">
        <f ca="1">(H237-H242)*'B. Implementation Plan'!P389*2080*(1+E19)^H252</f>
        <v>6891.9068629593539</v>
      </c>
      <c r="I258" s="482">
        <f ca="1">(I237-I242)*'B. Implementation Plan'!P389*2080*(1+E19)^I252</f>
        <v>7099.2245664942729</v>
      </c>
      <c r="J258" s="482">
        <f ca="1">(J237-J242)*'B. Implementation Plan'!P389*2080*(1+E19)^J252</f>
        <v>7177.1836290180609</v>
      </c>
      <c r="K258" s="482">
        <f ca="1">(K237-K242)*'B. Implementation Plan'!P389*2080*(1+E19)^K252</f>
        <v>7343.3292171190233</v>
      </c>
      <c r="L258" s="482">
        <f ca="1">(L237-L242)*'B. Implementation Plan'!P389*2080*(1+E19)^L252</f>
        <v>7425.3203732747488</v>
      </c>
      <c r="M258" s="482">
        <f ca="1">(M237-M242)*'B. Implementation Plan'!P389*2080*(1+E19)^M252</f>
        <v>7552.029732305431</v>
      </c>
      <c r="N258" s="482">
        <f ca="1">(N237-N242)*'B. Implementation Plan'!P389*2080*(1+E19)^N252</f>
        <v>7658.4557399498945</v>
      </c>
      <c r="O258" s="482">
        <f ca="1">(O237-O242)*'B. Implementation Plan'!P389*2080*(1+E19)^O252</f>
        <v>7746.8658219327517</v>
      </c>
      <c r="P258" s="488">
        <f t="shared" ca="1" si="141"/>
        <v>7746.8658219327517</v>
      </c>
    </row>
    <row r="259" spans="1:16" x14ac:dyDescent="0.3">
      <c r="C259" s="433" t="s">
        <v>679</v>
      </c>
      <c r="E259" s="482">
        <f ca="1">IF(E189&gt;0,'B. Implementation Plan'!M382*(1+E183)^E252,0)</f>
        <v>41538</v>
      </c>
      <c r="F259" s="482">
        <f ca="1">IF(F189&gt;0,'B. Implementation Plan'!M382*(1+E183)^F252,0)</f>
        <v>41538</v>
      </c>
      <c r="G259" s="482">
        <f ca="1">IF(G189&gt;0,'B. Implementation Plan'!M382*(1+E183)^G252,0)</f>
        <v>41538</v>
      </c>
      <c r="H259" s="482">
        <f ca="1">IF(H189&gt;0,'B. Implementation Plan'!M382*(1+E183)^H252,0)</f>
        <v>41538</v>
      </c>
      <c r="I259" s="482">
        <f ca="1">IF(I189&gt;0,'B. Implementation Plan'!M382*(1+E183)^I252,0)</f>
        <v>41538</v>
      </c>
      <c r="J259" s="482">
        <f ca="1">IF(J189&gt;0,'B. Implementation Plan'!M382*(1+E183)^J252,0)</f>
        <v>41538</v>
      </c>
      <c r="K259" s="482">
        <f ca="1">IF(K189&gt;0,'B. Implementation Plan'!M382*(1+E183)^K252,0)</f>
        <v>41538</v>
      </c>
      <c r="L259" s="482">
        <f ca="1">IF(L189&gt;0,'B. Implementation Plan'!M382*(1+E183)^L252,0)</f>
        <v>41538</v>
      </c>
      <c r="M259" s="482">
        <f ca="1">IF(M189&gt;0,'B. Implementation Plan'!M382*(1+E183)^M252,0)</f>
        <v>41538</v>
      </c>
      <c r="N259" s="482">
        <f ca="1">IF(N189&gt;0,'B. Implementation Plan'!M382*(1+E183)^N252,0)</f>
        <v>41538</v>
      </c>
      <c r="O259" s="482">
        <f ca="1">IF(O189&gt;0,'B. Implementation Plan'!M382*(1+E183)^O252,0)</f>
        <v>41538</v>
      </c>
      <c r="P259" s="488">
        <f ca="1">IF(O259=0,IF(N259=0,IF(M259=0,IF(L259=0,IF(K259=0,IF(J259=0,IF(I259=0,IF(H259=0,IF(G259=0,IF(F259=0,E259,F259),G259),H259),I259),J259),K259),L259),M259),N259),O259)</f>
        <v>41538</v>
      </c>
    </row>
    <row r="260" spans="1:16" x14ac:dyDescent="0.3">
      <c r="C260" s="396" t="s">
        <v>834</v>
      </c>
      <c r="E260" s="482">
        <f ca="1">IF(E189&gt;0,'B. Implementation Plan'!M381*(1+E19)^E252,0)</f>
        <v>79990.42</v>
      </c>
      <c r="F260" s="482">
        <f ca="1">IF(F189&gt;0,'B. Implementation Plan'!M381*(1+E19)^F252,0)</f>
        <v>81270.26672</v>
      </c>
      <c r="G260" s="482">
        <f ca="1">IF(G189&gt;0,'B. Implementation Plan'!M381*(1+E19)^G252,0)</f>
        <v>82570.590987520001</v>
      </c>
      <c r="H260" s="482">
        <f ca="1">IF(H189&gt;0,'B. Implementation Plan'!M381*(1+E19)^H252,0)</f>
        <v>83891.720443320315</v>
      </c>
      <c r="I260" s="482">
        <f ca="1">IF(I189&gt;0,'B. Implementation Plan'!M381*(1+E19)^I252,0)</f>
        <v>85233.987970413451</v>
      </c>
      <c r="J260" s="482">
        <f ca="1">IF(J189&gt;0,'B. Implementation Plan'!M381*(1+E19)^J252,0)</f>
        <v>86597.731777940062</v>
      </c>
      <c r="K260" s="482">
        <f ca="1">IF(K189&gt;0,'B. Implementation Plan'!M381*(1+E19)^K252,0)</f>
        <v>87983.295486387098</v>
      </c>
      <c r="L260" s="482">
        <f ca="1">IF(L189&gt;0,'B. Implementation Plan'!M381*(1+E19)^L252,0)</f>
        <v>89391.028214169302</v>
      </c>
      <c r="M260" s="482">
        <f ca="1">IF(M189&gt;0,'B. Implementation Plan'!M381*(1+E19)^M252,0)</f>
        <v>90821.284665596017</v>
      </c>
      <c r="N260" s="482">
        <f ca="1">IF(N189&gt;0,'B. Implementation Plan'!M381*(1+E19)^N252,0)</f>
        <v>92274.425220245554</v>
      </c>
      <c r="O260" s="482">
        <f ca="1">IF(O189&gt;0,'B. Implementation Plan'!M381*(1+E19)^O252,0)</f>
        <v>93750.816023769483</v>
      </c>
      <c r="P260" s="488">
        <f t="shared" ca="1" si="141"/>
        <v>93750.816023769483</v>
      </c>
    </row>
    <row r="261" spans="1:16" hidden="1" outlineLevel="1" x14ac:dyDescent="0.3">
      <c r="C261" s="478" t="s">
        <v>684</v>
      </c>
      <c r="E261" s="482">
        <f ca="1">IF(E189&gt;0,IF(OR('B. Implementation Plan'!M414="Y",'B. Implementation Plan'!M414="Yes"),0,E246*'B. Implementation Plan'!P413*(1+E19)^E252),0)</f>
        <v>1918.4516129032259</v>
      </c>
      <c r="F261" s="482">
        <f ca="1">IF(F189&gt;0,IF(OR('B. Implementation Plan'!M414="Y",'B. Implementation Plan'!M414="Yes"),0,F246*'B. Implementation Plan'!P413*(1+E19)^F252),0)</f>
        <v>1947.6528301886794</v>
      </c>
      <c r="G261" s="482">
        <f ca="1">IF(G189&gt;0,IF(OR('B. Implementation Plan'!M414="Y",'B. Implementation Plan'!M414="Yes"),0,G246*'B. Implementation Plan'!P413*(1+E19)^G252),0)</f>
        <v>1977.3718615950922</v>
      </c>
      <c r="H261" s="482">
        <f ca="1">IF(H189&gt;0,IF(OR('B. Implementation Plan'!M414="Y",'B. Implementation Plan'!M414="Yes"),0,H246*'B. Implementation Plan'!P413*(1+E19)^H252),0)</f>
        <v>2013.6424243199999</v>
      </c>
      <c r="I261" s="482">
        <f ca="1">IF(I189&gt;0,IF(OR('B. Implementation Plan'!M414="Y",'B. Implementation Plan'!M414="Yes"),0,I246*'B. Implementation Plan'!P413*(1+E19)^I252),0)</f>
        <v>2045.8607031091201</v>
      </c>
      <c r="J261" s="482">
        <f ca="1">IF(J189&gt;0,IF(OR('B. Implementation Plan'!M414="Y",'B. Implementation Plan'!M414="Yes"),0,J246*'B. Implementation Plan'!P413*(1+E19)^J252),0)</f>
        <v>2077.1055098356865</v>
      </c>
      <c r="K261" s="482">
        <f ca="1">IF(K189&gt;0,IF(OR('B. Implementation Plan'!M414="Y",'B. Implementation Plan'!M414="Yes"),0,K246*'B. Implementation Plan'!P413*(1+E19)^K252),0)</f>
        <v>2108.8942100579234</v>
      </c>
      <c r="L261" s="482">
        <f ca="1">IF(L189&gt;0,IF(OR('B. Implementation Plan'!M414="Y",'B. Implementation Plan'!M414="Yes"),0,L246*'B. Implementation Plan'!P413*(1+E19)^L252),0)</f>
        <v>2141.2327650846273</v>
      </c>
      <c r="M261" s="482">
        <f ca="1">IF(M189&gt;0,IF(OR('B. Implementation Plan'!M414="Y",'B. Implementation Plan'!M414="Yes"),0,M246*'B. Implementation Plan'!P413*(1+E19)^M252),0)</f>
        <v>2175.588562125582</v>
      </c>
      <c r="N261" s="482">
        <f ca="1">IF(N189&gt;0,IF(OR('B. Implementation Plan'!M414="Y",'B. Implementation Plan'!M414="Yes"),0,N246*'B. Implementation Plan'!P413*(1+E19)^N252),0)</f>
        <v>2214.8514337450843</v>
      </c>
      <c r="O261" s="482">
        <f ca="1">IF(O189&gt;0,IF(OR('B. Implementation Plan'!M414="Y",'B. Implementation Plan'!M414="Yes"),0,O246*'B. Implementation Plan'!P413*(1+E19)^O252),0)</f>
        <v>2248.8391281691006</v>
      </c>
      <c r="P261" s="488">
        <f t="shared" ca="1" si="141"/>
        <v>2248.8391281691006</v>
      </c>
    </row>
    <row r="262" spans="1:16" hidden="1" outlineLevel="1" x14ac:dyDescent="0.3">
      <c r="C262" s="478" t="s">
        <v>685</v>
      </c>
      <c r="E262" s="482">
        <f ca="1">IF(OR('B. Implementation Plan'!M414="Y",'B. Implementation Plan'!M414="Yes"),0,(E209+E237+E243)*('B. Implementation Plan'!P412*8)*'B. Implementation Plan'!P413*(1+E19)^E252)</f>
        <v>9005.0620347394542</v>
      </c>
      <c r="F262" s="482">
        <f ca="1">IF(OR('B. Implementation Plan'!M414="Y",'B. Implementation Plan'!M414="Yes"),0,(F209+F237+F243)*('B. Implementation Plan'!P412*8)*'B. Implementation Plan'!P413*(1+E19)^F252)</f>
        <v>9145.1206966618302</v>
      </c>
      <c r="G262" s="482">
        <f ca="1">IF(OR('B. Implementation Plan'!M414="Y",'B. Implementation Plan'!M414="Yes"),0,(G209+G237+G243)*('B. Implementation Plan'!P412*8)*'B. Implementation Plan'!P413*(1+E19)^G252)</f>
        <v>9287.5565135252473</v>
      </c>
      <c r="H262" s="482">
        <f ca="1">IF(OR('B. Implementation Plan'!M414="Y",'B. Implementation Plan'!M414="Yes"),0,(H209+H237+H243)*('B. Implementation Plan'!P412*8)*'B. Implementation Plan'!P413*(1+E19)^H252)</f>
        <v>9448.6298371938465</v>
      </c>
      <c r="I262" s="482">
        <f ca="1">IF(OR('B. Implementation Plan'!M414="Y",'B. Implementation Plan'!M414="Yes"),0,(I209+I237+I243)*('B. Implementation Plan'!P412*8)*'B. Implementation Plan'!P413*(1+E19)^I252)</f>
        <v>9599.8079145889478</v>
      </c>
      <c r="J262" s="482">
        <f ca="1">IF(OR('B. Implementation Plan'!M414="Y",'B. Implementation Plan'!M414="Yes"),0,(J209+J237+J243)*('B. Implementation Plan'!P412*8)*'B. Implementation Plan'!P413*(1+E19)^J252)</f>
        <v>9749.3960905830409</v>
      </c>
      <c r="K262" s="482">
        <f ca="1">IF(OR('B. Implementation Plan'!M414="Y",'B. Implementation Plan'!M414="Yes"),0,(K209+K237+K243)*('B. Implementation Plan'!P412*8)*'B. Implementation Plan'!P413*(1+E19)^K252)</f>
        <v>9901.4960758993166</v>
      </c>
      <c r="L262" s="482">
        <f ca="1">IF(OR('B. Implementation Plan'!M414="Y",'B. Implementation Plan'!M414="Yes"),0,(L209+L237+L243)*('B. Implementation Plan'!P412*8)*'B. Implementation Plan'!P413*(1+E19)^L252)</f>
        <v>10056.140679906184</v>
      </c>
      <c r="M262" s="482">
        <f ca="1">IF(OR('B. Implementation Plan'!M414="Y",'B. Implementation Plan'!M414="Yes"),0,(M209+M237+M243)*('B. Implementation Plan'!P412*8)*'B. Implementation Plan'!P413*(1+E19)^M252)</f>
        <v>10217.29758832207</v>
      </c>
      <c r="N262" s="482">
        <f ca="1">IF(OR('B. Implementation Plan'!M414="Y",'B. Implementation Plan'!M414="Yes"),0,(N209+N237+N243)*('B. Implementation Plan'!P412*8)*'B. Implementation Plan'!P413*(1+E19)^N252)</f>
        <v>10392.764419880781</v>
      </c>
      <c r="O262" s="482">
        <f ca="1">IF(OR('B. Implementation Plan'!M414="Y",'B. Implementation Plan'!M414="Yes"),0,(O209+O237+O243)*('B. Implementation Plan'!P412*8)*'B. Implementation Plan'!P413*(1+E19)^O252)</f>
        <v>10555.144996902203</v>
      </c>
      <c r="P262" s="488">
        <f t="shared" ca="1" si="141"/>
        <v>10555.144996902203</v>
      </c>
    </row>
    <row r="263" spans="1:16" collapsed="1" x14ac:dyDescent="0.3">
      <c r="C263" s="420" t="s">
        <v>683</v>
      </c>
      <c r="E263" s="482">
        <f ca="1">IF(OR('B. Implementation Plan'!M414="Y",'B. Implementation Plan'!M414="Yes"),'B. Implementation Plan'!N414*(SUM(E253:E258,E259)),SUM(E261:E262))</f>
        <v>10923.51364764268</v>
      </c>
      <c r="F263" s="482">
        <f ca="1">IF(OR('B. Implementation Plan'!M414="Y",'B. Implementation Plan'!M414="Yes"),'B. Implementation Plan'!N414*(SUM(F253:F258,F259)),SUM(F261:F262))</f>
        <v>11092.773526850509</v>
      </c>
      <c r="G263" s="482">
        <f ca="1">IF(OR('B. Implementation Plan'!M414="Y",'B. Implementation Plan'!M414="Yes"),'B. Implementation Plan'!N414*(SUM(G253:G258,G259)),SUM(G261:G262))</f>
        <v>11264.92837512034</v>
      </c>
      <c r="H263" s="482">
        <f ca="1">IF(OR('B. Implementation Plan'!M414="Y",'B. Implementation Plan'!M414="Yes"),'B. Implementation Plan'!N414*(SUM(H253:H258,H259)),SUM(H261:H262))</f>
        <v>11462.272261513846</v>
      </c>
      <c r="I263" s="482">
        <f ca="1">IF(OR('B. Implementation Plan'!M414="Y",'B. Implementation Plan'!M414="Yes"),'B. Implementation Plan'!N414*(SUM(I253:I258,I259)),SUM(I261:I262))</f>
        <v>11645.668617698067</v>
      </c>
      <c r="J263" s="482">
        <f ca="1">IF(OR('B. Implementation Plan'!M414="Y",'B. Implementation Plan'!M414="Yes"),'B. Implementation Plan'!N414*(SUM(J253:J258,J259)),SUM(J261:J262))</f>
        <v>11826.501600418727</v>
      </c>
      <c r="K263" s="482">
        <f ca="1">IF(OR('B. Implementation Plan'!M414="Y",'B. Implementation Plan'!M414="Yes"),'B. Implementation Plan'!N414*(SUM(K253:K258,K259)),SUM(K261:K262))</f>
        <v>12010.390285957241</v>
      </c>
      <c r="L263" s="482">
        <f ca="1">IF(OR('B. Implementation Plan'!M414="Y",'B. Implementation Plan'!M414="Yes"),'B. Implementation Plan'!N414*(SUM(L253:L258,L259)),SUM(L261:L262))</f>
        <v>12197.373444990812</v>
      </c>
      <c r="M263" s="482">
        <f ca="1">IF(OR('B. Implementation Plan'!M414="Y",'B. Implementation Plan'!M414="Yes"),'B. Implementation Plan'!N414*(SUM(M253:M258,M259)),SUM(M261:M262))</f>
        <v>12392.886150447652</v>
      </c>
      <c r="N263" s="482">
        <f ca="1">IF(OR('B. Implementation Plan'!M414="Y",'B. Implementation Plan'!M414="Yes"),'B. Implementation Plan'!N414*(SUM(N253:N258,N259)),SUM(N261:N262))</f>
        <v>12607.615853625866</v>
      </c>
      <c r="O263" s="482">
        <f ca="1">IF(OR('B. Implementation Plan'!M414="Y",'B. Implementation Plan'!M414="Yes"),'B. Implementation Plan'!N414*(SUM(O253:O258,O259)),SUM(O261:O262))</f>
        <v>12803.984125071303</v>
      </c>
      <c r="P263" s="488">
        <f t="shared" ca="1" si="141"/>
        <v>12803.984125071303</v>
      </c>
    </row>
    <row r="264" spans="1:16" s="1" customFormat="1" x14ac:dyDescent="0.3">
      <c r="C264" s="1" t="s">
        <v>682</v>
      </c>
      <c r="E264" s="485">
        <f t="shared" ref="E264:O264" ca="1" si="142">SUM(E253:E260,E263)</f>
        <v>231115.04903225804</v>
      </c>
      <c r="F264" s="485">
        <f t="shared" ca="1" si="142"/>
        <v>234030.76179982582</v>
      </c>
      <c r="G264" s="485">
        <f t="shared" ca="1" si="142"/>
        <v>237065.11399697731</v>
      </c>
      <c r="H264" s="485">
        <f t="shared" ca="1" si="142"/>
        <v>240414.26943157875</v>
      </c>
      <c r="I264" s="485">
        <f t="shared" ca="1" si="142"/>
        <v>243596.28974248405</v>
      </c>
      <c r="J264" s="485">
        <f t="shared" ca="1" si="142"/>
        <v>246780.48861724336</v>
      </c>
      <c r="K264" s="485">
        <f t="shared" ca="1" si="142"/>
        <v>249950.90030829696</v>
      </c>
      <c r="L264" s="485">
        <f t="shared" ca="1" si="142"/>
        <v>253241.03553330919</v>
      </c>
      <c r="M264" s="485">
        <f t="shared" ca="1" si="142"/>
        <v>256632.86150628858</v>
      </c>
      <c r="N264" s="485">
        <f t="shared" ca="1" si="142"/>
        <v>260286.56487350527</v>
      </c>
      <c r="O264" s="487">
        <f t="shared" ca="1" si="142"/>
        <v>263739.08579762786</v>
      </c>
      <c r="P264" s="489">
        <f t="shared" ca="1" si="141"/>
        <v>263739.08579762786</v>
      </c>
    </row>
    <row r="265" spans="1:16" x14ac:dyDescent="0.3">
      <c r="C265" t="s">
        <v>695</v>
      </c>
      <c r="E265" s="482">
        <f ca="1">E264*'B. Implementation Plan'!P415</f>
        <v>10284.619681935483</v>
      </c>
      <c r="F265" s="482">
        <f ca="1">F264*'B. Implementation Plan'!P415</f>
        <v>10414.368900092248</v>
      </c>
      <c r="G265" s="482">
        <f ca="1">G264*'B. Implementation Plan'!P415</f>
        <v>10549.39757286549</v>
      </c>
      <c r="H265" s="482">
        <f ca="1">H264*'B. Implementation Plan'!P415</f>
        <v>10698.434989705254</v>
      </c>
      <c r="I265" s="482">
        <f ca="1">I264*'B. Implementation Plan'!P415</f>
        <v>10840.03489354054</v>
      </c>
      <c r="J265" s="482">
        <f ca="1">J264*'B. Implementation Plan'!P415</f>
        <v>10981.73174346733</v>
      </c>
      <c r="K265" s="482">
        <f ca="1">K264*'B. Implementation Plan'!P415</f>
        <v>11122.815063719214</v>
      </c>
      <c r="L265" s="482">
        <f ca="1">L264*'B. Implementation Plan'!P415</f>
        <v>11269.226081232258</v>
      </c>
      <c r="M265" s="482">
        <f ca="1">M264*'B. Implementation Plan'!P415</f>
        <v>11420.162337029842</v>
      </c>
      <c r="N265" s="482">
        <f ca="1">N264*'B. Implementation Plan'!P415</f>
        <v>11582.752136870984</v>
      </c>
      <c r="O265" s="482">
        <f ca="1">O264*'B. Implementation Plan'!P415</f>
        <v>11736.389317994439</v>
      </c>
      <c r="P265" s="488">
        <f t="shared" ca="1" si="141"/>
        <v>11736.389317994439</v>
      </c>
    </row>
    <row r="266" spans="1:16" x14ac:dyDescent="0.3">
      <c r="C266" s="498" t="s">
        <v>680</v>
      </c>
      <c r="E266" s="482">
        <f ca="1">IF(OR('B. Implementation Plan'!M418="Y",'B. Implementation Plan'!M418="Yes"),'B. Implementation Plan'!N418*SUM(E253:E260),E245*'B. Implementation Plan'!E418)</f>
        <v>0</v>
      </c>
      <c r="F266" s="482">
        <f ca="1">IF(OR('B. Implementation Plan'!M418="Y",'B. Implementation Plan'!M418="Yes"),'B. Implementation Plan'!N418*SUM(F253:F260),F245*'B. Implementation Plan'!E418)</f>
        <v>0</v>
      </c>
      <c r="G266" s="482">
        <f ca="1">IF(OR('B. Implementation Plan'!M418="Y",'B. Implementation Plan'!M418="Yes"),'B. Implementation Plan'!N418*SUM(G253:G260),G245*'B. Implementation Plan'!E418)</f>
        <v>0</v>
      </c>
      <c r="H266" s="482">
        <f ca="1">IF(OR('B. Implementation Plan'!M418="Y",'B. Implementation Plan'!M418="Yes"),'B. Implementation Plan'!N418*SUM(H253:H260),H245*'B. Implementation Plan'!E418)</f>
        <v>0</v>
      </c>
      <c r="I266" s="482">
        <f ca="1">IF(OR('B. Implementation Plan'!M418="Y",'B. Implementation Plan'!M418="Yes"),'B. Implementation Plan'!N418*SUM(I253:I260),I245*'B. Implementation Plan'!E418)</f>
        <v>0</v>
      </c>
      <c r="J266" s="482">
        <f ca="1">IF(OR('B. Implementation Plan'!M418="Y",'B. Implementation Plan'!M418="Yes"),'B. Implementation Plan'!N418*SUM(J253:J260),J245*'B. Implementation Plan'!E418)</f>
        <v>0</v>
      </c>
      <c r="K266" s="482">
        <f ca="1">IF(OR('B. Implementation Plan'!M418="Y",'B. Implementation Plan'!M418="Yes"),'B. Implementation Plan'!N418*SUM(K253:K260),K245*'B. Implementation Plan'!E418)</f>
        <v>0</v>
      </c>
      <c r="L266" s="482">
        <f ca="1">IF(OR('B. Implementation Plan'!M418="Y",'B. Implementation Plan'!M418="Yes"),'B. Implementation Plan'!N418*SUM(L253:L260),L245*'B. Implementation Plan'!E418)</f>
        <v>0</v>
      </c>
      <c r="M266" s="482">
        <f ca="1">IF(OR('B. Implementation Plan'!M418="Y",'B. Implementation Plan'!M418="Yes"),'B. Implementation Plan'!N418*SUM(M253:M260),M245*'B. Implementation Plan'!E418)</f>
        <v>0</v>
      </c>
      <c r="N266" s="482">
        <f ca="1">IF(OR('B. Implementation Plan'!M418="Y",'B. Implementation Plan'!M418="Yes"),'B. Implementation Plan'!N418*SUM(N253:N260),N245*'B. Implementation Plan'!E418)</f>
        <v>0</v>
      </c>
      <c r="O266" s="482">
        <f ca="1">IF(OR('B. Implementation Plan'!M418="Y",'B. Implementation Plan'!M418="Yes"),'B. Implementation Plan'!N418*SUM(O253:O260),O245*'B. Implementation Plan'!E418)</f>
        <v>0</v>
      </c>
      <c r="P266" s="488">
        <f t="shared" ca="1" si="141"/>
        <v>0</v>
      </c>
    </row>
    <row r="267" spans="1:16" ht="15" thickBot="1" x14ac:dyDescent="0.35">
      <c r="C267" s="1" t="s">
        <v>716</v>
      </c>
      <c r="E267" s="485">
        <f ca="1">SUM(E264:E266)</f>
        <v>241399.66871419354</v>
      </c>
      <c r="F267" s="485">
        <f t="shared" ref="F267:O267" ca="1" si="143">SUM(F264:F266)</f>
        <v>244445.13069991808</v>
      </c>
      <c r="G267" s="485">
        <f t="shared" ca="1" si="143"/>
        <v>247614.51156984278</v>
      </c>
      <c r="H267" s="485">
        <f t="shared" ca="1" si="143"/>
        <v>251112.704421284</v>
      </c>
      <c r="I267" s="485">
        <f t="shared" ca="1" si="143"/>
        <v>254436.3246360246</v>
      </c>
      <c r="J267" s="485">
        <f t="shared" ca="1" si="143"/>
        <v>257762.22036071069</v>
      </c>
      <c r="K267" s="485">
        <f t="shared" ca="1" si="143"/>
        <v>261073.71537201616</v>
      </c>
      <c r="L267" s="485">
        <f t="shared" ca="1" si="143"/>
        <v>264510.26161454146</v>
      </c>
      <c r="M267" s="485">
        <f t="shared" ca="1" si="143"/>
        <v>268053.0238433184</v>
      </c>
      <c r="N267" s="485">
        <f t="shared" ca="1" si="143"/>
        <v>271869.31701037625</v>
      </c>
      <c r="O267" s="487">
        <f t="shared" ca="1" si="143"/>
        <v>275475.47511562228</v>
      </c>
      <c r="P267" s="490">
        <f t="shared" ca="1" si="141"/>
        <v>275475.47511562228</v>
      </c>
    </row>
    <row r="268" spans="1:16" x14ac:dyDescent="0.3">
      <c r="P268"/>
    </row>
    <row r="269" spans="1:16" ht="16.2" thickBot="1" x14ac:dyDescent="0.35">
      <c r="B269" s="253" t="s">
        <v>691</v>
      </c>
      <c r="C269" s="254"/>
      <c r="E269" s="469"/>
      <c r="P269"/>
    </row>
    <row r="270" spans="1:16" s="365" customFormat="1" ht="14.55" customHeight="1" x14ac:dyDescent="0.3">
      <c r="A270" s="1"/>
      <c r="B270" s="62"/>
      <c r="D270" s="394"/>
      <c r="E270" s="294">
        <v>0</v>
      </c>
      <c r="F270" s="294">
        <v>1</v>
      </c>
      <c r="G270" s="294">
        <v>2</v>
      </c>
      <c r="H270" s="294">
        <v>3</v>
      </c>
      <c r="I270" s="294">
        <v>4</v>
      </c>
      <c r="J270" s="294">
        <v>5</v>
      </c>
      <c r="K270" s="294">
        <v>6</v>
      </c>
      <c r="L270" s="294">
        <v>7</v>
      </c>
      <c r="M270" s="294">
        <v>8</v>
      </c>
      <c r="N270" s="294">
        <v>9</v>
      </c>
      <c r="O270" s="295">
        <v>10</v>
      </c>
      <c r="P270" s="395" t="s">
        <v>2</v>
      </c>
    </row>
    <row r="271" spans="1:16" s="1" customFormat="1" ht="14.55" customHeight="1" x14ac:dyDescent="0.3">
      <c r="B271" s="62"/>
      <c r="C271" s="1" t="s">
        <v>826</v>
      </c>
      <c r="D271" s="394"/>
      <c r="E271" s="486">
        <f ca="1">E246*'B. Implementation Plan'!P214*(1+E19)^E270</f>
        <v>599.51612903225805</v>
      </c>
      <c r="F271" s="486">
        <f ca="1">F246*'B. Implementation Plan'!P214*(1+E19)^F270</f>
        <v>608.64150943396226</v>
      </c>
      <c r="G271" s="486">
        <f ca="1">G246*'B. Implementation Plan'!P214*(1+E19)^G270</f>
        <v>617.92870674846631</v>
      </c>
      <c r="H271" s="486">
        <f ca="1">H246*'B. Implementation Plan'!P214*(1+E19)^H270</f>
        <v>629.26325759999997</v>
      </c>
      <c r="I271" s="486">
        <f ca="1">I246*'B. Implementation Plan'!P214*(1+E19)^I270</f>
        <v>639.3314697216</v>
      </c>
      <c r="J271" s="486">
        <f ca="1">J246*'B. Implementation Plan'!P214*(1+E19)^J270</f>
        <v>649.09547182365202</v>
      </c>
      <c r="K271" s="486">
        <f ca="1">K246*'B. Implementation Plan'!P214*(1+E19)^K270</f>
        <v>659.02944064310111</v>
      </c>
      <c r="L271" s="486">
        <f ca="1">L246*'B. Implementation Plan'!P214*(1+E19)^L270</f>
        <v>669.13523908894604</v>
      </c>
      <c r="M271" s="486">
        <f ca="1">M246*'B. Implementation Plan'!P214*(1+E19)^M270</f>
        <v>679.8714256642445</v>
      </c>
      <c r="N271" s="486">
        <f ca="1">N246*'B. Implementation Plan'!P214*(1+E19)^N270</f>
        <v>692.14107304533877</v>
      </c>
      <c r="O271" s="486">
        <f ca="1">O246*'B. Implementation Plan'!P214*(1+E19)^O270</f>
        <v>702.76222755284391</v>
      </c>
      <c r="P271" s="489">
        <f t="shared" ref="P271:P284" ca="1" si="144">IF(O271=0,IF(N271=0,IF(M271=0,IF(L271=0,IF(K271=0,IF(J271=0,IF(I271=0,IF(H271=0,IF(G271=0,IF(F271=0,E271,F271),G271),H271),I271),J271),K271),L271),M271),N271),O271)</f>
        <v>702.76222755284391</v>
      </c>
    </row>
    <row r="272" spans="1:16" s="365" customFormat="1" ht="14.55" customHeight="1" x14ac:dyDescent="0.3">
      <c r="A272" s="1"/>
      <c r="B272" s="62"/>
      <c r="C272" s="433" t="s">
        <v>712</v>
      </c>
      <c r="D272" s="394"/>
      <c r="E272" s="482">
        <f ca="1">IFERROR(IF(OR('B. Implementation Plan'!K442="Y",'B. Implementation Plan'!K442="Yes"),((E198/E201*E193)*'B. Implementation Plan'!L442+(E199/E201*E193)*'B. Implementation Plan'!M442+(E200/E201*E193)*'B. Implementation Plan'!N442)*(1+E183)^E270,((E198/E201*E193)*'B. Implementation Plan'!E442+(E199/E201*E193)*'B. Implementation Plan'!F442+(E200/E201*E193)*'B. Implementation Plan'!G442)*(1+E19)^E270),0)</f>
        <v>118729.18786014325</v>
      </c>
      <c r="F272" s="482">
        <f ca="1">IFERROR(IF(OR('B. Implementation Plan'!K442="Y",'B. Implementation Plan'!K442="Yes"),((F198/F201*F193)*'B. Implementation Plan'!L442+(F199/F201*F193)*'B. Implementation Plan'!M442+(F200/F201*F193)*'B. Implementation Plan'!N442)*(1+E183)^F270,((F198/F201*F193)*'B. Implementation Plan'!E442+(F199/F201*F193)*'B. Implementation Plan'!F442+(F200/F201*F193)*'B. Implementation Plan'!G442)*(1+E19)^F270),0)</f>
        <v>120629.29672075779</v>
      </c>
      <c r="G272" s="482">
        <f ca="1">IFERROR(IF(OR('B. Implementation Plan'!K442="Y",'B. Implementation Plan'!K442="Yes"),((G198/G201*G193)*'B. Implementation Plan'!L442+(G199/G201*G193)*'B. Implementation Plan'!M442+(G200/G201*G193)*'B. Implementation Plan'!N442)*(1+E183)^G270,((G198/G201*G193)*'B. Implementation Plan'!E442+(G199/G201*G193)*'B. Implementation Plan'!F442+(G200/G201*G193)*'B. Implementation Plan'!G442)*(1+E19)^G270),0)</f>
        <v>122559.77727746229</v>
      </c>
      <c r="H272" s="482">
        <f ca="1">IFERROR(IF(OR('B. Implementation Plan'!K442="Y",'B. Implementation Plan'!K442="Yes"),((H198/H201*H193)*'B. Implementation Plan'!L442+(H199/H201*H193)*'B. Implementation Plan'!M442+(H200/H201*H193)*'B. Implementation Plan'!N442)*(1+E183)^H270,((H198/H201*H193)*'B. Implementation Plan'!E442+(H199/H201*H193)*'B. Implementation Plan'!F442+(H200/H201*H193)*'B. Implementation Plan'!G442)*(1+E19)^H270),0)</f>
        <v>124895.05548174908</v>
      </c>
      <c r="I272" s="482">
        <f ca="1">IFERROR(IF(OR('B. Implementation Plan'!K442="Y",'B. Implementation Plan'!K442="Yes"),((I198/I201*I193)*'B. Implementation Plan'!L442+(I199/I201*I193)*'B. Implementation Plan'!M442+(I200/I201*I193)*'B. Implementation Plan'!N442)*(1+E183)^I270,((I198/I201*I193)*'B. Implementation Plan'!E442+(I199/I201*I193)*'B. Implementation Plan'!F442+(I200/I201*I193)*'B. Implementation Plan'!G442)*(1+E19)^I270),0)</f>
        <v>126883.81725845735</v>
      </c>
      <c r="J272" s="482">
        <f ca="1">IFERROR(IF(OR('B. Implementation Plan'!K442="Y",'B. Implementation Plan'!K442="Yes"),((J198/J201*J193)*'B. Implementation Plan'!L442+(J199/J201*J193)*'B. Implementation Plan'!M442+(J200/J201*J193)*'B. Implementation Plan'!N442)*(1+E183)^J270,((J198/J201*J193)*'B. Implementation Plan'!E442+(J199/J201*J193)*'B. Implementation Plan'!F442+(J200/J201*J193)*'B. Implementation Plan'!G442)*(1+E19)^J270),0)</f>
        <v>128905.70164753876</v>
      </c>
      <c r="K272" s="482">
        <f ca="1">IFERROR(IF(OR('B. Implementation Plan'!K442="Y",'B. Implementation Plan'!K442="Yes"),((K198/K201*K193)*'B. Implementation Plan'!L442+(K199/K201*K193)*'B. Implementation Plan'!M442+(K200/K201*K193)*'B. Implementation Plan'!N442)*(1+E183)^K270,((K198/K201*K193)*'B. Implementation Plan'!E442+(K199/K201*K193)*'B. Implementation Plan'!F442+(K200/K201*K193)*'B. Implementation Plan'!G442)*(1+E19)^K270),0)</f>
        <v>130960.16804925755</v>
      </c>
      <c r="L272" s="482">
        <f ca="1">IFERROR(IF(OR('B. Implementation Plan'!K442="Y",'B. Implementation Plan'!K442="Yes"),((L198/L201*L193)*'B. Implementation Plan'!L442+(L199/L201*L193)*'B. Implementation Plan'!M442+(L200/L201*L193)*'B. Implementation Plan'!N442)*(1+E183)^L270,((L198/L201*L193)*'B. Implementation Plan'!E442+(L199/L201*L193)*'B. Implementation Plan'!F442+(L200/L201*L193)*'B. Implementation Plan'!G442)*(1+E19)^L270),0)</f>
        <v>133047.72377710138</v>
      </c>
      <c r="M272" s="482">
        <f ca="1">IFERROR(IF(OR('B. Implementation Plan'!K442="Y",'B. Implementation Plan'!K442="Yes"),((M198/M201*M193)*'B. Implementation Plan'!L442+(M199/M201*M193)*'B. Implementation Plan'!M442+(M200/M201*M193)*'B. Implementation Plan'!N442)*(1+E183)^M270,((M198/M201*M193)*'B. Implementation Plan'!E442+(M199/M201*M193)*'B. Implementation Plan'!F442+(M200/M201*M193)*'B. Implementation Plan'!G442)*(1+E19)^M270),0)</f>
        <v>135167.989409879</v>
      </c>
      <c r="N272" s="482">
        <f ca="1">IFERROR(IF(OR('B. Implementation Plan'!K442="Y",'B. Implementation Plan'!K442="Yes"),((N198/N201*N193)*'B. Implementation Plan'!L442+(N199/N201*N193)*'B. Implementation Plan'!M442+(N200/N201*N193)*'B. Implementation Plan'!N442)*(1+E183)^N270,((N198/N201*N193)*'B. Implementation Plan'!E442+(N199/N201*N193)*'B. Implementation Plan'!F442+(N200/N201*N193)*'B. Implementation Plan'!G442)*(1+E19)^N270),0)</f>
        <v>137684.68306914586</v>
      </c>
      <c r="O272" s="482">
        <f ca="1">IFERROR(IF(OR('B. Implementation Plan'!K442="Y",'B. Implementation Plan'!K442="Yes"),((O198/O201*O193)*'B. Implementation Plan'!L442+(O199/O201*O193)*'B. Implementation Plan'!M442+(O200/O201*O193)*'B. Implementation Plan'!N442)*(1+E183)^O270,((O198/O201*O193)*'B. Implementation Plan'!E442+(O199/O201*O193)*'B. Implementation Plan'!F442+(O200/O201*O193)*'B. Implementation Plan'!G442)*(1+E19)^O270),0)</f>
        <v>139872.8582088484</v>
      </c>
      <c r="P272" s="488">
        <f t="shared" ca="1" si="144"/>
        <v>139872.8582088484</v>
      </c>
    </row>
    <row r="273" spans="1:16" s="365" customFormat="1" ht="14.55" customHeight="1" x14ac:dyDescent="0.3">
      <c r="A273" s="1"/>
      <c r="B273" s="62"/>
      <c r="C273" s="433" t="s">
        <v>693</v>
      </c>
      <c r="D273" s="394"/>
      <c r="E273" s="482">
        <f ca="1">E193*'B. Implementation Plan'!E464*(1+E19)^E270</f>
        <v>1853.2258064516129</v>
      </c>
      <c r="F273" s="482">
        <f ca="1">F193*'B. Implementation Plan'!E464*(1+E19)^F270</f>
        <v>1883.433962264151</v>
      </c>
      <c r="G273" s="482">
        <f ca="1">G193*'B. Implementation Plan'!E464*(1+E19)^G270</f>
        <v>1914.1066012269941</v>
      </c>
      <c r="H273" s="482">
        <f ca="1">H193*'B. Implementation Plan'!E464*(1+E19)^H270</f>
        <v>1951.0940344504504</v>
      </c>
      <c r="I273" s="482">
        <f ca="1">I193*'B. Implementation Plan'!E464*(1+E19)^I270</f>
        <v>1982.67750507505</v>
      </c>
      <c r="J273" s="482">
        <f ca="1">J193*'B. Implementation Plan'!E464*(1+E19)^J270</f>
        <v>2014.7551204275364</v>
      </c>
      <c r="K273" s="482">
        <f ca="1">K193*'B. Implementation Plan'!E464*(1+E19)^K270</f>
        <v>2047.3354993330559</v>
      </c>
      <c r="L273" s="482">
        <f ca="1">L193*'B. Implementation Plan'!E464*(1+E19)^L270</f>
        <v>2080.4273391029001</v>
      </c>
      <c r="M273" s="482">
        <f ca="1">M193*'B. Implementation Plan'!E464*(1+E19)^M270</f>
        <v>2114.0394229855283</v>
      </c>
      <c r="N273" s="482">
        <f ca="1">N193*'B. Implementation Plan'!E464*(1+E19)^N270</f>
        <v>2153.8337338845085</v>
      </c>
      <c r="O273" s="482">
        <f ca="1">O193*'B. Implementation Plan'!E464*(1+E19)^O270</f>
        <v>2188.4858536945426</v>
      </c>
      <c r="P273" s="488">
        <f t="shared" ca="1" si="144"/>
        <v>2188.4858536945426</v>
      </c>
    </row>
    <row r="274" spans="1:16" s="365" customFormat="1" ht="14.55" customHeight="1" x14ac:dyDescent="0.3">
      <c r="A274" s="1"/>
      <c r="B274" s="62"/>
      <c r="C274" s="420" t="s">
        <v>692</v>
      </c>
      <c r="D274" s="394"/>
      <c r="E274" s="482">
        <f ca="1">E193*'B. Implementation Plan'!E466*(1+E19)^E270</f>
        <v>988.38709677419354</v>
      </c>
      <c r="F274" s="482">
        <f ca="1">F193*'B. Implementation Plan'!E466*(1+E19)^F270</f>
        <v>1004.4981132075471</v>
      </c>
      <c r="G274" s="482">
        <f ca="1">G193*'B. Implementation Plan'!E466*(1+E19)^G270</f>
        <v>1020.8568539877301</v>
      </c>
      <c r="H274" s="482">
        <f ca="1">H193*'B. Implementation Plan'!E466*(1+E19)^H270</f>
        <v>1040.5834850402402</v>
      </c>
      <c r="I274" s="482">
        <f ca="1">I193*'B. Implementation Plan'!E466*(1+E19)^I270</f>
        <v>1057.4280027066932</v>
      </c>
      <c r="J274" s="482">
        <f ca="1">J193*'B. Implementation Plan'!E466*(1+E19)^J270</f>
        <v>1074.5360642280193</v>
      </c>
      <c r="K274" s="482">
        <f ca="1">K193*'B. Implementation Plan'!E466*(1+E19)^K270</f>
        <v>1091.9122663109631</v>
      </c>
      <c r="L274" s="482">
        <f ca="1">L193*'B. Implementation Plan'!E466*(1+E19)^L270</f>
        <v>1109.5612475215466</v>
      </c>
      <c r="M274" s="482">
        <f ca="1">M193*'B. Implementation Plan'!E466*(1+E19)^M270</f>
        <v>1127.4876922589483</v>
      </c>
      <c r="N274" s="482">
        <f ca="1">N193*'B. Implementation Plan'!E466*(1+E19)^N270</f>
        <v>1148.7113247384045</v>
      </c>
      <c r="O274" s="482">
        <f ca="1">O193*'B. Implementation Plan'!E466*(1+E19)^O270</f>
        <v>1167.1924553037561</v>
      </c>
      <c r="P274" s="488">
        <f t="shared" ca="1" si="144"/>
        <v>1167.1924553037561</v>
      </c>
    </row>
    <row r="275" spans="1:16" x14ac:dyDescent="0.3">
      <c r="C275" s="1" t="s">
        <v>717</v>
      </c>
      <c r="E275" s="485">
        <f ca="1">SUM(E272:E274)</f>
        <v>121570.80076336906</v>
      </c>
      <c r="F275" s="485">
        <f t="shared" ref="F275:O275" ca="1" si="145">SUM(F272:F274)</f>
        <v>123517.22879622949</v>
      </c>
      <c r="G275" s="485">
        <f t="shared" ca="1" si="145"/>
        <v>125494.740732677</v>
      </c>
      <c r="H275" s="485">
        <f t="shared" ca="1" si="145"/>
        <v>127886.73300123977</v>
      </c>
      <c r="I275" s="485">
        <f t="shared" ca="1" si="145"/>
        <v>129923.92276623909</v>
      </c>
      <c r="J275" s="485">
        <f t="shared" ca="1" si="145"/>
        <v>131994.99283219432</v>
      </c>
      <c r="K275" s="485">
        <f t="shared" ca="1" si="145"/>
        <v>134099.41581490159</v>
      </c>
      <c r="L275" s="485">
        <f t="shared" ca="1" si="145"/>
        <v>136237.71236372582</v>
      </c>
      <c r="M275" s="485">
        <f t="shared" ca="1" si="145"/>
        <v>138409.51652512347</v>
      </c>
      <c r="N275" s="485">
        <f t="shared" ca="1" si="145"/>
        <v>140987.22812776876</v>
      </c>
      <c r="O275" s="485">
        <f t="shared" ca="1" si="145"/>
        <v>143228.53651784672</v>
      </c>
      <c r="P275" s="489">
        <f t="shared" ca="1" si="144"/>
        <v>143228.53651784672</v>
      </c>
    </row>
    <row r="276" spans="1:16" x14ac:dyDescent="0.3">
      <c r="C276" s="396" t="s">
        <v>713</v>
      </c>
      <c r="E276" s="482">
        <f ca="1">IF(OR('B. Implementation Plan'!K452="Yes",'B. Implementation Plan'!K452="Y"),E197*'B. Implementation Plan'!M452*(1+E19)^E270,E197*'B. Implementation Plan'!E452*(1+E19)^E270)</f>
        <v>11000</v>
      </c>
      <c r="F276" s="482">
        <f ca="1">IF(OR('B. Implementation Plan'!K452="Yes",'B. Implementation Plan'!K452="Y"),F197*'B. Implementation Plan'!M452*(1+E19)^F270,F197*'B. Implementation Plan'!E452*(1+E19)^F270)</f>
        <v>11158.427672955975</v>
      </c>
      <c r="G276" s="482">
        <f ca="1">IF(OR('B. Implementation Plan'!K452="Yes",'B. Implementation Plan'!K452="Y"),G197*'B. Implementation Plan'!M452*(1+E19)^G270,G197*'B. Implementation Plan'!E452*(1+E19)^G270)</f>
        <v>11337.40063803681</v>
      </c>
      <c r="H276" s="482">
        <f ca="1">IF(OR('B. Implementation Plan'!K452="Yes",'B. Implementation Plan'!K452="Y"),H197*'B. Implementation Plan'!M452*(1+E19)^H270,H197*'B. Implementation Plan'!E452*(1+E19)^H270)</f>
        <v>11536.493055999999</v>
      </c>
      <c r="I276" s="482">
        <f ca="1">IF(OR('B. Implementation Plan'!K452="Yes",'B. Implementation Plan'!K452="Y"),I197*'B. Implementation Plan'!M452*(1+E19)^I270,I197*'B. Implementation Plan'!E452*(1+E19)^I270)</f>
        <v>11721.076944896</v>
      </c>
      <c r="J276" s="482">
        <f ca="1">IF(OR('B. Implementation Plan'!K452="Yes",'B. Implementation Plan'!K452="Y"),J197*'B. Implementation Plan'!M452*(1+E19)^J270,J197*'B. Implementation Plan'!E452*(1+E19)^J270)</f>
        <v>11908.614176014336</v>
      </c>
      <c r="K276" s="482">
        <f ca="1">IF(OR('B. Implementation Plan'!K452="Yes",'B. Implementation Plan'!K452="Y"),K197*'B. Implementation Plan'!M452*(1+E19)^K270,K197*'B. Implementation Plan'!E452*(1+E19)^K270)</f>
        <v>12082.206411790186</v>
      </c>
      <c r="L276" s="482">
        <f ca="1">IF(OR('B. Implementation Plan'!K452="Yes",'B. Implementation Plan'!K452="Y"),L197*'B. Implementation Plan'!M452*(1+E19)^L270,L197*'B. Implementation Plan'!E452*(1+E19)^L270)</f>
        <v>12275.899067156846</v>
      </c>
      <c r="M276" s="482">
        <f ca="1">IF(OR('B. Implementation Plan'!K452="Yes",'B. Implementation Plan'!K452="Y"),M197*'B. Implementation Plan'!M452*(1+E19)^M270,M197*'B. Implementation Plan'!E452*(1+E19)^M270)</f>
        <v>12472.680396952055</v>
      </c>
      <c r="N276" s="482">
        <f ca="1">IF(OR('B. Implementation Plan'!K452="Yes",'B. Implementation Plan'!K452="Y"),N197*'B. Implementation Plan'!M452*(1+E19)^N270,N197*'B. Implementation Plan'!E452*(1+E19)^N270)</f>
        <v>12689.253005831211</v>
      </c>
      <c r="O276" s="482">
        <f ca="1">IF(OR('B. Implementation Plan'!K452="Yes",'B. Implementation Plan'!K452="Y"),O197*'B. Implementation Plan'!M452*(1+E19)^O270,O197*'B. Implementation Plan'!E452*(1+E19)^O270)</f>
        <v>12892.281053924511</v>
      </c>
      <c r="P276" s="488">
        <f t="shared" ca="1" si="144"/>
        <v>12892.281053924511</v>
      </c>
    </row>
    <row r="277" spans="1:16" x14ac:dyDescent="0.3">
      <c r="C277" s="420" t="s">
        <v>694</v>
      </c>
      <c r="E277" s="482">
        <f ca="1">IF(OR('B. Implementation Plan'!K488="Y",'B. Implementation Plan'!K488="Yes"),E197*'B. Implementation Plan'!L488*(1+E19)^E270,E197*'B. Implementation Plan'!E488*(1+E19)^E270)</f>
        <v>3451.2</v>
      </c>
      <c r="F277" s="482">
        <f ca="1">IF(OR('B. Implementation Plan'!K488="Y",'B. Implementation Plan'!K488="Yes"),F197*'B. Implementation Plan'!L488*(1+E19)^F270,F197*'B. Implementation Plan'!E488*(1+E19)^F270)</f>
        <v>3500.9059622641503</v>
      </c>
      <c r="G277" s="482">
        <f ca="1">IF(OR('B. Implementation Plan'!K488="Y",'B. Implementation Plan'!K488="Yes"),G197*'B. Implementation Plan'!L488*(1+E19)^G270,G197*'B. Implementation Plan'!E488*(1+E19)^G270)</f>
        <v>3557.0579165447853</v>
      </c>
      <c r="H277" s="482">
        <f ca="1">IF(OR('B. Implementation Plan'!K488="Y",'B. Implementation Plan'!K488="Yes"),H197*'B. Implementation Plan'!L488*(1+E19)^H270,H197*'B. Implementation Plan'!E488*(1+E19)^H270)</f>
        <v>3619.5222577151999</v>
      </c>
      <c r="I277" s="482">
        <f ca="1">IF(OR('B. Implementation Plan'!K488="Y",'B. Implementation Plan'!K488="Yes"),I197*'B. Implementation Plan'!L488*(1+E19)^I270,I197*'B. Implementation Plan'!E488*(1+E19)^I270)</f>
        <v>3677.4346138386431</v>
      </c>
      <c r="J277" s="482">
        <f ca="1">IF(OR('B. Implementation Plan'!K488="Y",'B. Implementation Plan'!K488="Yes"),J197*'B. Implementation Plan'!L488*(1+E19)^J270,J197*'B. Implementation Plan'!E488*(1+E19)^J270)</f>
        <v>3736.2735676600614</v>
      </c>
      <c r="K277" s="482">
        <f ca="1">IF(OR('B. Implementation Plan'!K488="Y",'B. Implementation Plan'!K488="Yes"),K197*'B. Implementation Plan'!L488*(1+E19)^K270,K197*'B. Implementation Plan'!E488*(1+E19)^K270)</f>
        <v>3790.7373425791175</v>
      </c>
      <c r="L277" s="482">
        <f ca="1">IF(OR('B. Implementation Plan'!K488="Y",'B. Implementation Plan'!K488="Yes"),L197*'B. Implementation Plan'!L488*(1+E19)^L270,L197*'B. Implementation Plan'!E488*(1+E19)^L270)</f>
        <v>3851.5075327792465</v>
      </c>
      <c r="M277" s="482">
        <f ca="1">IF(OR('B. Implementation Plan'!K488="Y",'B. Implementation Plan'!K488="Yes"),M197*'B. Implementation Plan'!L488*(1+E19)^M270,M197*'B. Implementation Plan'!E488*(1+E19)^M270)</f>
        <v>3913.2467805419024</v>
      </c>
      <c r="N277" s="482">
        <f ca="1">IF(OR('B. Implementation Plan'!K488="Y",'B. Implementation Plan'!K488="Yes"),N197*'B. Implementation Plan'!L488*(1+E19)^N270,N197*'B. Implementation Plan'!E488*(1+E19)^N270)</f>
        <v>3981.1954521567886</v>
      </c>
      <c r="O277" s="482">
        <f ca="1">IF(OR('B. Implementation Plan'!K488="Y",'B. Implementation Plan'!K488="Yes"),O197*'B. Implementation Plan'!L488*(1+E19)^O270,O197*'B. Implementation Plan'!E488*(1+E19)^O270)</f>
        <v>4044.8945793912976</v>
      </c>
      <c r="P277" s="488">
        <f t="shared" ca="1" si="144"/>
        <v>4044.8945793912976</v>
      </c>
    </row>
    <row r="278" spans="1:16" x14ac:dyDescent="0.3">
      <c r="C278" s="1" t="s">
        <v>711</v>
      </c>
      <c r="E278" s="485">
        <f ca="1">E276+E277</f>
        <v>14451.2</v>
      </c>
      <c r="F278" s="485">
        <f t="shared" ref="F278:O278" ca="1" si="146">F276+F277</f>
        <v>14659.333635220126</v>
      </c>
      <c r="G278" s="485">
        <f t="shared" ca="1" si="146"/>
        <v>14894.458554581595</v>
      </c>
      <c r="H278" s="485">
        <f t="shared" ca="1" si="146"/>
        <v>15156.015313715199</v>
      </c>
      <c r="I278" s="485">
        <f t="shared" ca="1" si="146"/>
        <v>15398.511558734643</v>
      </c>
      <c r="J278" s="485">
        <f t="shared" ca="1" si="146"/>
        <v>15644.887743674397</v>
      </c>
      <c r="K278" s="485">
        <f t="shared" ca="1" si="146"/>
        <v>15872.943754369304</v>
      </c>
      <c r="L278" s="485">
        <f t="shared" ca="1" si="146"/>
        <v>16127.406599936094</v>
      </c>
      <c r="M278" s="485">
        <f t="shared" ca="1" si="146"/>
        <v>16385.927177493959</v>
      </c>
      <c r="N278" s="485">
        <f t="shared" ca="1" si="146"/>
        <v>16670.448457988001</v>
      </c>
      <c r="O278" s="485">
        <f t="shared" ca="1" si="146"/>
        <v>16937.175633315808</v>
      </c>
      <c r="P278" s="489">
        <f t="shared" ca="1" si="144"/>
        <v>16937.175633315808</v>
      </c>
    </row>
    <row r="279" spans="1:16" x14ac:dyDescent="0.3">
      <c r="C279" s="497" t="s">
        <v>722</v>
      </c>
      <c r="E279" s="485">
        <f ca="1">IF(E189&gt;0,IF(OR('B. Implementation Plan'!K458="Yes",'B. Implementation Plan'!K458="Y"),('B. Implementation Plan'!M458*(1+E19)^E270)*('B. Implementation Plan'!P352/'B. Implementation Plan'!P353),('B. Implementation Plan'!E458*(1+E19)^E270)*('B. Implementation Plan'!P352/'B. Implementation Plan'!P353)),0)</f>
        <v>666.66666666666663</v>
      </c>
      <c r="F279" s="485">
        <f ca="1">IF(F189&gt;0,IF(OR('B. Implementation Plan'!K458="Yes",'B. Implementation Plan'!K458="Y"),('B. Implementation Plan'!M458*(1+E19)^F270)*('B. Implementation Plan'!P352/'B. Implementation Plan'!P353),('B. Implementation Plan'!E458*(1+E19)^F270)*('B. Implementation Plan'!P352/'B. Implementation Plan'!P353)),0)</f>
        <v>677.33333333333337</v>
      </c>
      <c r="G279" s="485">
        <f ca="1">IF(G189&gt;0,IF(OR('B. Implementation Plan'!K458="Yes",'B. Implementation Plan'!K458="Y"),('B. Implementation Plan'!M458*(1+E19)^G270)*('B. Implementation Plan'!P352/'B. Implementation Plan'!P353),('B. Implementation Plan'!E458*(1+E19)^G270)*('B. Implementation Plan'!P352/'B. Implementation Plan'!P353)),0)</f>
        <v>688.17066666666676</v>
      </c>
      <c r="H279" s="485">
        <f ca="1">IF(H189&gt;0,IF(OR('B. Implementation Plan'!K458="Yes",'B. Implementation Plan'!K458="Y"),('B. Implementation Plan'!M458*(1+E19)^H270)*('B. Implementation Plan'!P352/'B. Implementation Plan'!P353),('B. Implementation Plan'!E458*(1+E19)^H270)*('B. Implementation Plan'!P352/'B. Implementation Plan'!P353)),0)</f>
        <v>699.18139733333339</v>
      </c>
      <c r="I279" s="485">
        <f ca="1">IF(I189&gt;0,IF(OR('B. Implementation Plan'!K458="Yes",'B. Implementation Plan'!K458="Y"),('B. Implementation Plan'!M458*(1+E19)^I270)*('B. Implementation Plan'!P352/'B. Implementation Plan'!P353),('B. Implementation Plan'!E458*(1+E19)^I270)*('B. Implementation Plan'!P352/'B. Implementation Plan'!P353)),0)</f>
        <v>710.36829969066662</v>
      </c>
      <c r="J279" s="485">
        <f ca="1">IF(J189&gt;0,IF(OR('B. Implementation Plan'!K458="Yes",'B. Implementation Plan'!K458="Y"),('B. Implementation Plan'!M458*(1+E19)^J270)*('B. Implementation Plan'!P352/'B. Implementation Plan'!P353),('B. Implementation Plan'!E458*(1+E19)^J270)*('B. Implementation Plan'!P352/'B. Implementation Plan'!P353)),0)</f>
        <v>721.73419248571736</v>
      </c>
      <c r="K279" s="485">
        <f ca="1">IF(K189&gt;0,IF(OR('B. Implementation Plan'!K458="Yes",'B. Implementation Plan'!K458="Y"),('B. Implementation Plan'!M458*(1+E19)^K270)*('B. Implementation Plan'!P352/'B. Implementation Plan'!P353),('B. Implementation Plan'!E458*(1+E19)^K270)*('B. Implementation Plan'!P352/'B. Implementation Plan'!P353)),0)</f>
        <v>733.28193956548876</v>
      </c>
      <c r="L279" s="485">
        <f ca="1">IF(L189&gt;0,IF(OR('B. Implementation Plan'!K458="Yes",'B. Implementation Plan'!K458="Y"),('B. Implementation Plan'!M458*(1+E19)^L270)*('B. Implementation Plan'!P352/'B. Implementation Plan'!P353),('B. Implementation Plan'!E458*(1+E19)^L270)*('B. Implementation Plan'!P352/'B. Implementation Plan'!P353)),0)</f>
        <v>745.01445059853677</v>
      </c>
      <c r="M279" s="485">
        <f ca="1">IF(M189&gt;0,IF(OR('B. Implementation Plan'!K458="Yes",'B. Implementation Plan'!K458="Y"),('B. Implementation Plan'!M458*(1+E19)^M270)*('B. Implementation Plan'!P352/'B. Implementation Plan'!P353),('B. Implementation Plan'!E458*(1+E19)^M270)*('B. Implementation Plan'!P352/'B. Implementation Plan'!P353)),0)</f>
        <v>756.93468180811328</v>
      </c>
      <c r="N279" s="485">
        <f ca="1">IF(N189&gt;0,IF(OR('B. Implementation Plan'!K458="Yes",'B. Implementation Plan'!K458="Y"),('B. Implementation Plan'!M458*(1+E19)^N270)*('B. Implementation Plan'!P352/'B. Implementation Plan'!P353),('B. Implementation Plan'!E458*(1+E19)^N270)*('B. Implementation Plan'!P352/'B. Implementation Plan'!P353)),0)</f>
        <v>769.04563671704307</v>
      </c>
      <c r="O279" s="485">
        <f ca="1">IF(O189&gt;0,IF(OR('B. Implementation Plan'!K458="Yes",'B. Implementation Plan'!K458="Y"),('B. Implementation Plan'!M458*(1+E19)^O270)*('B. Implementation Plan'!P352/'B. Implementation Plan'!P353),('B. Implementation Plan'!E458*(1+E19)^O270)*('B. Implementation Plan'!P352/'B. Implementation Plan'!P353)),0)</f>
        <v>781.35036690451579</v>
      </c>
      <c r="P279" s="489">
        <f t="shared" ca="1" si="144"/>
        <v>781.35036690451579</v>
      </c>
    </row>
    <row r="280" spans="1:16" s="1" customFormat="1" x14ac:dyDescent="0.3">
      <c r="C280" s="1" t="s">
        <v>697</v>
      </c>
      <c r="E280" s="485">
        <f t="shared" ref="E280:O280" ca="1" si="147">E271+E275+E278+E279</f>
        <v>137288.18355906798</v>
      </c>
      <c r="F280" s="485">
        <f t="shared" ca="1" si="147"/>
        <v>139462.53727421691</v>
      </c>
      <c r="G280" s="485">
        <f t="shared" ca="1" si="147"/>
        <v>141695.29866067375</v>
      </c>
      <c r="H280" s="485">
        <f t="shared" ca="1" si="147"/>
        <v>144371.1929698883</v>
      </c>
      <c r="I280" s="485">
        <f t="shared" ca="1" si="147"/>
        <v>146672.13409438598</v>
      </c>
      <c r="J280" s="485">
        <f t="shared" ca="1" si="147"/>
        <v>149010.71024017807</v>
      </c>
      <c r="K280" s="485">
        <f t="shared" ca="1" si="147"/>
        <v>151364.67094947948</v>
      </c>
      <c r="L280" s="485">
        <f t="shared" ca="1" si="147"/>
        <v>153779.2686533494</v>
      </c>
      <c r="M280" s="485">
        <f t="shared" ca="1" si="147"/>
        <v>156232.24981008979</v>
      </c>
      <c r="N280" s="485">
        <f t="shared" ca="1" si="147"/>
        <v>159118.86329551917</v>
      </c>
      <c r="O280" s="485">
        <f t="shared" ca="1" si="147"/>
        <v>161649.8247456199</v>
      </c>
      <c r="P280" s="489">
        <f t="shared" ca="1" si="144"/>
        <v>161649.8247456199</v>
      </c>
    </row>
    <row r="281" spans="1:16" x14ac:dyDescent="0.3">
      <c r="C281" s="433" t="s">
        <v>714</v>
      </c>
      <c r="E281" s="482">
        <f ca="1">'B. Implementation Plan'!F493*(E267+E280)</f>
        <v>0</v>
      </c>
      <c r="F281" s="482">
        <f ca="1">'B. Implementation Plan'!F493*(F267+F280)</f>
        <v>0</v>
      </c>
      <c r="G281" s="482">
        <f ca="1">'B. Implementation Plan'!F493*(G267+G280)</f>
        <v>0</v>
      </c>
      <c r="H281" s="482">
        <f ca="1">'B. Implementation Plan'!F493*(H267+H280)</f>
        <v>0</v>
      </c>
      <c r="I281" s="482">
        <f ca="1">'B. Implementation Plan'!F493*(I267+I280)</f>
        <v>0</v>
      </c>
      <c r="J281" s="482">
        <f ca="1">'B. Implementation Plan'!F493*(J267+J280)</f>
        <v>0</v>
      </c>
      <c r="K281" s="482">
        <f ca="1">'B. Implementation Plan'!F493*(K267+K280)</f>
        <v>0</v>
      </c>
      <c r="L281" s="482">
        <f ca="1">'B. Implementation Plan'!F493*(L267+L280)</f>
        <v>0</v>
      </c>
      <c r="M281" s="482">
        <f ca="1">'B. Implementation Plan'!F493*(M267+M280)</f>
        <v>0</v>
      </c>
      <c r="N281" s="482">
        <f ca="1">'B. Implementation Plan'!F493*(N267+N280)</f>
        <v>0</v>
      </c>
      <c r="O281" s="482">
        <f ca="1">'B. Implementation Plan'!F493*(O267+O280)</f>
        <v>0</v>
      </c>
      <c r="P281" s="488">
        <f t="shared" ca="1" si="144"/>
        <v>0</v>
      </c>
    </row>
    <row r="282" spans="1:16" x14ac:dyDescent="0.3">
      <c r="C282" s="420" t="s">
        <v>715</v>
      </c>
      <c r="E282" s="482">
        <f ca="1">'B. Implementation Plan'!F494*(E267+E280)</f>
        <v>0</v>
      </c>
      <c r="F282" s="482">
        <f ca="1">'B. Implementation Plan'!F494*(F267+F280)</f>
        <v>0</v>
      </c>
      <c r="G282" s="482">
        <f ca="1">'B. Implementation Plan'!F494*(G267+G280)</f>
        <v>0</v>
      </c>
      <c r="H282" s="482">
        <f ca="1">'B. Implementation Plan'!F494*(H267+H280)</f>
        <v>0</v>
      </c>
      <c r="I282" s="482">
        <f ca="1">'B. Implementation Plan'!F494*(I267+I280)</f>
        <v>0</v>
      </c>
      <c r="J282" s="482">
        <f ca="1">'B. Implementation Plan'!F494*(J267+J280)</f>
        <v>0</v>
      </c>
      <c r="K282" s="482">
        <f ca="1">'B. Implementation Plan'!F494*(K267+K280)</f>
        <v>0</v>
      </c>
      <c r="L282" s="482">
        <f ca="1">'B. Implementation Plan'!F494*(L267+L280)</f>
        <v>0</v>
      </c>
      <c r="M282" s="482">
        <f ca="1">'B. Implementation Plan'!F494*(M267+M280)</f>
        <v>0</v>
      </c>
      <c r="N282" s="482">
        <f ca="1">'B. Implementation Plan'!F494*(N267+N280)</f>
        <v>0</v>
      </c>
      <c r="O282" s="482">
        <f ca="1">'B. Implementation Plan'!F494*(O267+O280)</f>
        <v>0</v>
      </c>
      <c r="P282" s="488">
        <f t="shared" ca="1" si="144"/>
        <v>0</v>
      </c>
    </row>
    <row r="283" spans="1:16" x14ac:dyDescent="0.3">
      <c r="C283" s="484" t="s">
        <v>723</v>
      </c>
      <c r="E283" s="482">
        <f ca="1">E281+E282</f>
        <v>0</v>
      </c>
      <c r="F283" s="482">
        <f t="shared" ref="F283:O283" ca="1" si="148">F281+F282</f>
        <v>0</v>
      </c>
      <c r="G283" s="482">
        <f t="shared" ca="1" si="148"/>
        <v>0</v>
      </c>
      <c r="H283" s="482">
        <f t="shared" ca="1" si="148"/>
        <v>0</v>
      </c>
      <c r="I283" s="482">
        <f t="shared" ca="1" si="148"/>
        <v>0</v>
      </c>
      <c r="J283" s="482">
        <f t="shared" ca="1" si="148"/>
        <v>0</v>
      </c>
      <c r="K283" s="482">
        <f t="shared" ca="1" si="148"/>
        <v>0</v>
      </c>
      <c r="L283" s="482">
        <f t="shared" ca="1" si="148"/>
        <v>0</v>
      </c>
      <c r="M283" s="482">
        <f t="shared" ca="1" si="148"/>
        <v>0</v>
      </c>
      <c r="N283" s="482">
        <f t="shared" ca="1" si="148"/>
        <v>0</v>
      </c>
      <c r="O283" s="482">
        <f t="shared" ca="1" si="148"/>
        <v>0</v>
      </c>
      <c r="P283" s="488">
        <f t="shared" ca="1" si="144"/>
        <v>0</v>
      </c>
    </row>
    <row r="284" spans="1:16" x14ac:dyDescent="0.3">
      <c r="C284" s="1" t="s">
        <v>718</v>
      </c>
      <c r="E284" s="485">
        <f t="shared" ref="E284:O284" ca="1" si="149">E267+E280+E283</f>
        <v>378687.85227326152</v>
      </c>
      <c r="F284" s="485">
        <f t="shared" ca="1" si="149"/>
        <v>383907.66797413502</v>
      </c>
      <c r="G284" s="485">
        <f t="shared" ca="1" si="149"/>
        <v>389309.81023051654</v>
      </c>
      <c r="H284" s="485">
        <f t="shared" ca="1" si="149"/>
        <v>395483.8973911723</v>
      </c>
      <c r="I284" s="485">
        <f t="shared" ca="1" si="149"/>
        <v>401108.45873041055</v>
      </c>
      <c r="J284" s="485">
        <f t="shared" ca="1" si="149"/>
        <v>406772.93060088879</v>
      </c>
      <c r="K284" s="485">
        <f t="shared" ca="1" si="149"/>
        <v>412438.38632149564</v>
      </c>
      <c r="L284" s="485">
        <f t="shared" ca="1" si="149"/>
        <v>418289.53026789089</v>
      </c>
      <c r="M284" s="485">
        <f t="shared" ca="1" si="149"/>
        <v>424285.27365340816</v>
      </c>
      <c r="N284" s="485">
        <f t="shared" ca="1" si="149"/>
        <v>430988.1803058954</v>
      </c>
      <c r="O284" s="485">
        <f t="shared" ca="1" si="149"/>
        <v>437125.29986124218</v>
      </c>
      <c r="P284" s="489">
        <f t="shared" ca="1" si="144"/>
        <v>437125.29986124218</v>
      </c>
    </row>
    <row r="285" spans="1:16" x14ac:dyDescent="0.3">
      <c r="C285" s="1" t="s">
        <v>828</v>
      </c>
      <c r="E285" s="504">
        <f t="shared" ref="E285:O285" ca="1" si="150">E284*E189</f>
        <v>117393234.20471108</v>
      </c>
      <c r="F285" s="504">
        <f t="shared" ca="1" si="150"/>
        <v>122082638.41577494</v>
      </c>
      <c r="G285" s="504">
        <f t="shared" ca="1" si="150"/>
        <v>126914998.13514839</v>
      </c>
      <c r="H285" s="504">
        <f t="shared" ca="1" si="150"/>
        <v>131696137.83126038</v>
      </c>
      <c r="I285" s="504">
        <f t="shared" ca="1" si="150"/>
        <v>136777984.42706999</v>
      </c>
      <c r="J285" s="504">
        <f t="shared" ca="1" si="150"/>
        <v>141963752.7797102</v>
      </c>
      <c r="K285" s="504">
        <f t="shared" ca="1" si="150"/>
        <v>147240503.91677395</v>
      </c>
      <c r="L285" s="504">
        <f t="shared" ca="1" si="150"/>
        <v>152675678.54778019</v>
      </c>
      <c r="M285" s="504">
        <f t="shared" ca="1" si="150"/>
        <v>158258407.07272124</v>
      </c>
      <c r="N285" s="504">
        <f t="shared" ca="1" si="150"/>
        <v>163775508.51624024</v>
      </c>
      <c r="O285" s="504">
        <f t="shared" ca="1" si="150"/>
        <v>169604616.34616196</v>
      </c>
      <c r="P285" s="503">
        <f ca="1">SUM(E285:O285)</f>
        <v>1568383460.1933522</v>
      </c>
    </row>
    <row r="286" spans="1:16" s="280" customFormat="1" ht="16.2" thickBot="1" x14ac:dyDescent="0.35">
      <c r="C286" s="511" t="s">
        <v>786</v>
      </c>
      <c r="E286" s="509">
        <f t="shared" ref="E286:O286" ca="1" si="151">IF(E193&gt;0,E284/E193,0)</f>
        <v>6130.1949976350434</v>
      </c>
      <c r="F286" s="509">
        <f t="shared" ca="1" si="151"/>
        <v>6212.8569168333297</v>
      </c>
      <c r="G286" s="509">
        <f t="shared" ca="1" si="151"/>
        <v>6298.5110737046343</v>
      </c>
      <c r="H286" s="509">
        <f t="shared" ca="1" si="151"/>
        <v>6377.5369409811319</v>
      </c>
      <c r="I286" s="509">
        <f t="shared" ca="1" si="151"/>
        <v>6467.0441809489357</v>
      </c>
      <c r="J286" s="509">
        <f t="shared" ca="1" si="151"/>
        <v>6557.2172184623641</v>
      </c>
      <c r="K286" s="509">
        <f t="shared" ca="1" si="151"/>
        <v>6647.4268133983724</v>
      </c>
      <c r="L286" s="509">
        <f t="shared" ca="1" si="151"/>
        <v>6740.6480595046432</v>
      </c>
      <c r="M286" s="509">
        <f t="shared" ca="1" si="151"/>
        <v>6836.2162882384991</v>
      </c>
      <c r="N286" s="509">
        <f t="shared" ca="1" si="151"/>
        <v>6924.9686476211518</v>
      </c>
      <c r="O286" s="509">
        <f t="shared" ca="1" si="151"/>
        <v>7022.9654801723382</v>
      </c>
      <c r="P286" s="510">
        <f t="shared" ref="P286" ca="1" si="152">IF(O286=0,IF(N286=0,IF(M286=0,IF(L286=0,IF(K286=0,IF(J286=0,IF(I286=0,IF(H286=0,IF(G286=0,IF(F286=0,E286,F286),G286),H286),I286),J286),K286),L286),M286),N286),O286)</f>
        <v>7022.9654801723382</v>
      </c>
    </row>
    <row r="287" spans="1:16" x14ac:dyDescent="0.3">
      <c r="E287" s="505"/>
      <c r="P287"/>
    </row>
    <row r="288" spans="1:16" ht="16.2" thickBot="1" x14ac:dyDescent="0.35">
      <c r="B288" s="253" t="s">
        <v>755</v>
      </c>
      <c r="C288" s="254"/>
      <c r="E288" s="469"/>
      <c r="P288"/>
    </row>
    <row r="289" spans="1:16" s="365" customFormat="1" ht="14.55" customHeight="1" x14ac:dyDescent="0.3">
      <c r="A289" s="1"/>
      <c r="B289" s="62"/>
      <c r="D289" s="394"/>
      <c r="E289" s="294">
        <v>0</v>
      </c>
      <c r="F289" s="294">
        <v>1</v>
      </c>
      <c r="G289" s="294">
        <v>2</v>
      </c>
      <c r="H289" s="294">
        <v>3</v>
      </c>
      <c r="I289" s="294">
        <v>4</v>
      </c>
      <c r="J289" s="294">
        <v>5</v>
      </c>
      <c r="K289" s="294">
        <v>6</v>
      </c>
      <c r="L289" s="294">
        <v>7</v>
      </c>
      <c r="M289" s="294">
        <v>8</v>
      </c>
      <c r="N289" s="294">
        <v>9</v>
      </c>
      <c r="O289" s="295">
        <v>10</v>
      </c>
      <c r="P289" s="395" t="s">
        <v>2</v>
      </c>
    </row>
    <row r="290" spans="1:16" hidden="1" outlineLevel="1" x14ac:dyDescent="0.3">
      <c r="C290" s="396" t="s">
        <v>907</v>
      </c>
      <c r="E290" s="482">
        <f ca="1">E211*'B. Implementation Plan'!P388*2080*(1+E19)^E289</f>
        <v>66147.876550868488</v>
      </c>
      <c r="F290" s="482">
        <f ca="1">F211*'B. Implementation Plan'!P388*2080*(1+E19)^F289</f>
        <v>67212.812743105955</v>
      </c>
      <c r="G290" s="482">
        <f ca="1">G211*'B. Implementation Plan'!P388*2080*(1+E19)^G289</f>
        <v>68406.707559037284</v>
      </c>
      <c r="H290" s="482">
        <f ca="1">H211*'B. Implementation Plan'!P388*2080*(1+E19)^H289</f>
        <v>69713.348751027937</v>
      </c>
      <c r="I290" s="482">
        <f ca="1">I211*'B. Implementation Plan'!P388*2080*(1+E19)^I289</f>
        <v>70937.768003980862</v>
      </c>
      <c r="J290" s="482">
        <f ca="1">J211*'B. Implementation Plan'!P388*2080*(1+E19)^J289</f>
        <v>72178.444702684224</v>
      </c>
      <c r="K290" s="482">
        <f ca="1">K211*'B. Implementation Plan'!P388*2080*(1+E19)^K289</f>
        <v>73326.734028705396</v>
      </c>
      <c r="L290" s="482">
        <f ca="1">L211*'B. Implementation Plan'!P388*2080*(1+E19)^L289</f>
        <v>74602.016515319716</v>
      </c>
      <c r="M290" s="482">
        <f ca="1">M211*'B. Implementation Plan'!P388*2080*(1+E19)^M289</f>
        <v>75894.888671351786</v>
      </c>
      <c r="N290" s="482">
        <f ca="1">N211*'B. Implementation Plan'!P388*2080*(1+E19)^N289</f>
        <v>77301.461080418216</v>
      </c>
      <c r="O290" s="482">
        <f ca="1">O211*'B. Implementation Plan'!P388*2080*(1+E19)^O289</f>
        <v>78630.625471506035</v>
      </c>
      <c r="P290" s="488">
        <f t="shared" ref="P290:P298" ca="1" si="153">IF(O290=0,IF(N290=0,IF(M290=0,IF(L290=0,IF(K290=0,IF(J290=0,IF(I290=0,IF(H290=0,IF(G290=0,IF(F290=0,E290,F290),G290),H290),I290),J290),K290),L290),M290),N290),O290)</f>
        <v>78630.625471506035</v>
      </c>
    </row>
    <row r="291" spans="1:16" hidden="1" outlineLevel="1" x14ac:dyDescent="0.3">
      <c r="C291" s="396" t="s">
        <v>908</v>
      </c>
      <c r="E291" s="482">
        <f ca="1">E212*'B. Implementation Plan'!P388*2080*(1+E19)^E289</f>
        <v>4684.0465260545907</v>
      </c>
      <c r="F291" s="482">
        <f ca="1">F212*'B. Implementation Plan'!P388*2080*(1+E19)^F289</f>
        <v>4639.2682196419928</v>
      </c>
      <c r="G291" s="482">
        <f ca="1">G212*'B. Implementation Plan'!P388*2080*(1+E19)^G289</f>
        <v>4597.8278851156201</v>
      </c>
      <c r="H291" s="482">
        <f ca="1">H212*'B. Implementation Plan'!P388*2080*(1+E19)^H289</f>
        <v>4573.1956780674336</v>
      </c>
      <c r="I291" s="482">
        <f ca="1">I212*'B. Implementation Plan'!P388*2080*(1+E19)^I289</f>
        <v>4537.3611359800543</v>
      </c>
      <c r="J291" s="482">
        <f ca="1">J212*'B. Implementation Plan'!P388*2080*(1+E19)^J289</f>
        <v>4504.2865035160639</v>
      </c>
      <c r="K291" s="482">
        <f ca="1">K212*'B. Implementation Plan'!P388*2080*(1+E19)^K289</f>
        <v>4473.8037130608946</v>
      </c>
      <c r="L291" s="482">
        <f ca="1">L212*'B. Implementation Plan'!P388*2080*(1+E19)^L289</f>
        <v>4445.7597051280636</v>
      </c>
      <c r="M291" s="482">
        <f ca="1">M212*'B. Implementation Plan'!P388*2080*(1+E19)^M289</f>
        <v>4420.0148231895209</v>
      </c>
      <c r="N291" s="482">
        <f ca="1">N212*'B. Implementation Plan'!P388*2080*(1+E19)^N289</f>
        <v>4408.0109934591746</v>
      </c>
      <c r="O291" s="482">
        <f ca="1">O212*'B. Implementation Plan'!P388*2080*(1+E19)^O289</f>
        <v>4386.1981555533976</v>
      </c>
      <c r="P291" s="488">
        <f t="shared" ca="1" si="153"/>
        <v>4386.1981555533976</v>
      </c>
    </row>
    <row r="292" spans="1:16" hidden="1" outlineLevel="1" x14ac:dyDescent="0.3">
      <c r="C292" s="396" t="s">
        <v>909</v>
      </c>
      <c r="E292" s="482">
        <f ca="1">E213*'B. Implementation Plan'!P388*2080*(1+E19)^E289</f>
        <v>0</v>
      </c>
      <c r="F292" s="482">
        <f ca="1">F213*'B. Implementation Plan'!P388*2080*(1+E19)^F289</f>
        <v>0</v>
      </c>
      <c r="G292" s="482">
        <f ca="1">G213*'B. Implementation Plan'!P388*2080*(1+E19)^G289</f>
        <v>0</v>
      </c>
      <c r="H292" s="482">
        <f ca="1">H213*'B. Implementation Plan'!P388*2080*(1+E19)^H289</f>
        <v>0</v>
      </c>
      <c r="I292" s="482">
        <f ca="1">I213*'B. Implementation Plan'!P388*2080*(1+E19)^I289</f>
        <v>0</v>
      </c>
      <c r="J292" s="482">
        <f ca="1">J213*'B. Implementation Plan'!P388*2080*(1+E19)^J289</f>
        <v>0</v>
      </c>
      <c r="K292" s="482">
        <f ca="1">K213*'B. Implementation Plan'!P388*2080*(1+E19)^K289</f>
        <v>0</v>
      </c>
      <c r="L292" s="482">
        <f ca="1">L213*'B. Implementation Plan'!P388*2080*(1+E19)^L289</f>
        <v>0</v>
      </c>
      <c r="M292" s="482">
        <f ca="1">M213*'B. Implementation Plan'!P388*2080*(1+E19)^M289</f>
        <v>0</v>
      </c>
      <c r="N292" s="482">
        <f ca="1">N213*'B. Implementation Plan'!P388*2080*(1+E19)^N289</f>
        <v>0</v>
      </c>
      <c r="O292" s="482">
        <f ca="1">O213*'B. Implementation Plan'!P388*2080*(1+E19)^O289</f>
        <v>0</v>
      </c>
      <c r="P292" s="488">
        <f t="shared" ca="1" si="153"/>
        <v>0</v>
      </c>
    </row>
    <row r="293" spans="1:16" hidden="1" outlineLevel="1" x14ac:dyDescent="0.3">
      <c r="C293" s="478" t="s">
        <v>910</v>
      </c>
      <c r="E293" s="482">
        <f ca="1">E216*'B. Implementation Plan'!P387*2080*(1+E19)^E289</f>
        <v>0</v>
      </c>
      <c r="F293" s="482">
        <f ca="1">F216*'B. Implementation Plan'!P387*2080*(1+E19)^F289</f>
        <v>0</v>
      </c>
      <c r="G293" s="482">
        <f ca="1">G216*'B. Implementation Plan'!P387*2080*(1+E19)^G289</f>
        <v>0</v>
      </c>
      <c r="H293" s="482">
        <f ca="1">H216*'B. Implementation Plan'!P387*2080*(1+E19)^H289</f>
        <v>0</v>
      </c>
      <c r="I293" s="482">
        <f ca="1">I216*'B. Implementation Plan'!P387*2080*(1+E19)^I289</f>
        <v>0</v>
      </c>
      <c r="J293" s="482">
        <f ca="1">J216*'B. Implementation Plan'!P387*2080*(1+E19)^J289</f>
        <v>0</v>
      </c>
      <c r="K293" s="482">
        <f ca="1">K216*'B. Implementation Plan'!P387*2080*(1+E19)^K289</f>
        <v>0</v>
      </c>
      <c r="L293" s="482">
        <f ca="1">L216*'B. Implementation Plan'!P387*2080*(1+E19)^L289</f>
        <v>0</v>
      </c>
      <c r="M293" s="482">
        <f ca="1">M216*'B. Implementation Plan'!P387*2080*(1+E19)^M289</f>
        <v>0</v>
      </c>
      <c r="N293" s="482">
        <f ca="1">N216*'B. Implementation Plan'!P387*2080*(1+E19)^N289</f>
        <v>0</v>
      </c>
      <c r="O293" s="482">
        <f ca="1">O216*'B. Implementation Plan'!P387*2080*(1+E19)^O289</f>
        <v>0</v>
      </c>
      <c r="P293" s="488">
        <f t="shared" ca="1" si="153"/>
        <v>0</v>
      </c>
    </row>
    <row r="294" spans="1:16" hidden="1" outlineLevel="1" x14ac:dyDescent="0.3">
      <c r="C294" s="478" t="s">
        <v>911</v>
      </c>
      <c r="E294" s="482">
        <f ca="1">E217*'B. Implementation Plan'!P387*2080*(1+E19)^E289</f>
        <v>0</v>
      </c>
      <c r="F294" s="482">
        <f ca="1">F217*'B. Implementation Plan'!P387*2080*(1+E19)^F289</f>
        <v>0</v>
      </c>
      <c r="G294" s="482">
        <f ca="1">G217*'B. Implementation Plan'!P387*2080*(1+E19)^G289</f>
        <v>0</v>
      </c>
      <c r="H294" s="482">
        <f ca="1">H217*'B. Implementation Plan'!P387*2080*(1+E19)^H289</f>
        <v>0</v>
      </c>
      <c r="I294" s="482">
        <f ca="1">I217*'B. Implementation Plan'!P387*2080*(1+E19)^I289</f>
        <v>0</v>
      </c>
      <c r="J294" s="482">
        <f ca="1">J217*'B. Implementation Plan'!P387*2080*(1+E19)^J289</f>
        <v>0</v>
      </c>
      <c r="K294" s="482">
        <f ca="1">K217*'B. Implementation Plan'!P387*2080*(1+E19)^K289</f>
        <v>0</v>
      </c>
      <c r="L294" s="482">
        <f ca="1">L217*'B. Implementation Plan'!P387*2080*(1+E19)^L289</f>
        <v>0</v>
      </c>
      <c r="M294" s="482">
        <f ca="1">M217*'B. Implementation Plan'!P387*2080*(1+E19)^M289</f>
        <v>0</v>
      </c>
      <c r="N294" s="482">
        <f ca="1">N217*'B. Implementation Plan'!P387*2080*(1+E19)^N289</f>
        <v>0</v>
      </c>
      <c r="O294" s="482">
        <f ca="1">O217*'B. Implementation Plan'!P387*2080*(1+E19)^O289</f>
        <v>0</v>
      </c>
      <c r="P294" s="488">
        <f t="shared" ca="1" si="153"/>
        <v>0</v>
      </c>
    </row>
    <row r="295" spans="1:16" hidden="1" outlineLevel="1" x14ac:dyDescent="0.3">
      <c r="C295" s="478" t="s">
        <v>912</v>
      </c>
      <c r="E295" s="482">
        <f ca="1">E218*'B. Implementation Plan'!P387*2080*(1+E19)^E289</f>
        <v>0</v>
      </c>
      <c r="F295" s="482">
        <f ca="1">F218*'B. Implementation Plan'!P387*2080*(1+E19)^F289</f>
        <v>0</v>
      </c>
      <c r="G295" s="482">
        <f ca="1">G218*'B. Implementation Plan'!P387*2080*(1+E19)^G289</f>
        <v>0</v>
      </c>
      <c r="H295" s="482">
        <f ca="1">H218*'B. Implementation Plan'!P387*2080*(1+E19)^H289</f>
        <v>0</v>
      </c>
      <c r="I295" s="482">
        <f ca="1">I218*'B. Implementation Plan'!P387*2080*(1+E19)^I289</f>
        <v>0</v>
      </c>
      <c r="J295" s="482">
        <f ca="1">J218*'B. Implementation Plan'!P387*2080*(1+E19)^J289</f>
        <v>0</v>
      </c>
      <c r="K295" s="482">
        <f ca="1">K218*'B. Implementation Plan'!P387*2080*(1+E19)^K289</f>
        <v>0</v>
      </c>
      <c r="L295" s="482">
        <f ca="1">L218*'B. Implementation Plan'!P387*2080*(1+E19)^L289</f>
        <v>0</v>
      </c>
      <c r="M295" s="482">
        <f ca="1">M218*'B. Implementation Plan'!P387*2080*(1+E19)^M289</f>
        <v>0</v>
      </c>
      <c r="N295" s="482">
        <f ca="1">N218*'B. Implementation Plan'!P387*2080*(1+E19)^N289</f>
        <v>0</v>
      </c>
      <c r="O295" s="482">
        <f ca="1">O218*'B. Implementation Plan'!P387*2080*(1+E19)^O289</f>
        <v>0</v>
      </c>
      <c r="P295" s="488">
        <f t="shared" ca="1" si="153"/>
        <v>0</v>
      </c>
    </row>
    <row r="296" spans="1:16" hidden="1" outlineLevel="1" x14ac:dyDescent="0.3">
      <c r="C296" s="396" t="s">
        <v>913</v>
      </c>
      <c r="E296" s="482">
        <f ca="1">E221*'B. Implementation Plan'!P386*2080*(1+E19)^E289</f>
        <v>0</v>
      </c>
      <c r="F296" s="482">
        <f ca="1">F221*'B. Implementation Plan'!P386*2080*(1+E19)^F289</f>
        <v>0</v>
      </c>
      <c r="G296" s="482">
        <f ca="1">G221*'B. Implementation Plan'!P386*2080*(1+E19)^G289</f>
        <v>0</v>
      </c>
      <c r="H296" s="482">
        <f ca="1">H221*'B. Implementation Plan'!P386*2080*(1+E19)^H289</f>
        <v>0</v>
      </c>
      <c r="I296" s="482">
        <f ca="1">I221*'B. Implementation Plan'!P386*2080*(1+E19)^I289</f>
        <v>0</v>
      </c>
      <c r="J296" s="482">
        <f ca="1">J221*'B. Implementation Plan'!P386*2080*(1+E19)^J289</f>
        <v>0</v>
      </c>
      <c r="K296" s="482">
        <f ca="1">K221*'B. Implementation Plan'!P386*2080*(1+E19)^K289</f>
        <v>0</v>
      </c>
      <c r="L296" s="482">
        <f ca="1">L221*'B. Implementation Plan'!P386*2080*(1+E19)^L289</f>
        <v>0</v>
      </c>
      <c r="M296" s="482">
        <f ca="1">M221*'B. Implementation Plan'!P386*2080*(1+E19)^M289</f>
        <v>0</v>
      </c>
      <c r="N296" s="482">
        <f ca="1">N221*'B. Implementation Plan'!P386*2080*(1+E19)^N289</f>
        <v>0</v>
      </c>
      <c r="O296" s="482">
        <f ca="1">O221*'B. Implementation Plan'!P386*2080*(1+E19)^O289</f>
        <v>0</v>
      </c>
      <c r="P296" s="488">
        <f t="shared" ca="1" si="153"/>
        <v>0</v>
      </c>
    </row>
    <row r="297" spans="1:16" hidden="1" outlineLevel="1" x14ac:dyDescent="0.3">
      <c r="C297" s="396" t="s">
        <v>914</v>
      </c>
      <c r="E297" s="482">
        <f ca="1">E222*'B. Implementation Plan'!P386*2080*(1+E19)^E289</f>
        <v>0</v>
      </c>
      <c r="F297" s="482">
        <f ca="1">F222*'B. Implementation Plan'!P386*2080*(1+E19)^F289</f>
        <v>0</v>
      </c>
      <c r="G297" s="482">
        <f ca="1">G222*'B. Implementation Plan'!P386*2080*(1+E19)^G289</f>
        <v>0</v>
      </c>
      <c r="H297" s="482">
        <f ca="1">H222*'B. Implementation Plan'!P386*2080*(1+E19)^H289</f>
        <v>0</v>
      </c>
      <c r="I297" s="482">
        <f ca="1">I222*'B. Implementation Plan'!P386*2080*(1+E19)^I289</f>
        <v>0</v>
      </c>
      <c r="J297" s="482">
        <f ca="1">J222*'B. Implementation Plan'!P386*2080*(1+E19)^J289</f>
        <v>0</v>
      </c>
      <c r="K297" s="482">
        <f ca="1">K222*'B. Implementation Plan'!P386*2080*(1+E19)^K289</f>
        <v>0</v>
      </c>
      <c r="L297" s="482">
        <f ca="1">L222*'B. Implementation Plan'!P386*2080*(1+E19)^L289</f>
        <v>0</v>
      </c>
      <c r="M297" s="482">
        <f ca="1">M222*'B. Implementation Plan'!P386*2080*(1+E19)^M289</f>
        <v>0</v>
      </c>
      <c r="N297" s="482">
        <f ca="1">N222*'B. Implementation Plan'!P386*2080*(1+E19)^N289</f>
        <v>0</v>
      </c>
      <c r="O297" s="482">
        <f ca="1">O222*'B. Implementation Plan'!P386*2080*(1+E19)^O289</f>
        <v>0</v>
      </c>
      <c r="P297" s="488">
        <f t="shared" ca="1" si="153"/>
        <v>0</v>
      </c>
    </row>
    <row r="298" spans="1:16" hidden="1" outlineLevel="1" x14ac:dyDescent="0.3">
      <c r="C298" s="396" t="s">
        <v>915</v>
      </c>
      <c r="E298" s="482">
        <f ca="1">E223*'B. Implementation Plan'!P386*2080*(1+E19)^E289</f>
        <v>0</v>
      </c>
      <c r="F298" s="482">
        <f ca="1">F223*'B. Implementation Plan'!P386*2080*(1+E19)^F289</f>
        <v>0</v>
      </c>
      <c r="G298" s="482">
        <f ca="1">G223*'B. Implementation Plan'!P386*2080*(1+E19)^G289</f>
        <v>0</v>
      </c>
      <c r="H298" s="482">
        <f ca="1">H223*'B. Implementation Plan'!P386*2080*(1+E19)^H289</f>
        <v>0</v>
      </c>
      <c r="I298" s="482">
        <f ca="1">I223*'B. Implementation Plan'!P386*2080*(1+E19)^I289</f>
        <v>0</v>
      </c>
      <c r="J298" s="482">
        <f ca="1">J223*'B. Implementation Plan'!P386*2080*(1+E19)^J289</f>
        <v>0</v>
      </c>
      <c r="K298" s="482">
        <f ca="1">K223*'B. Implementation Plan'!P386*2080*(1+E19)^K289</f>
        <v>0</v>
      </c>
      <c r="L298" s="482">
        <f ca="1">L223*'B. Implementation Plan'!P386*2080*(1+E19)^L289</f>
        <v>0</v>
      </c>
      <c r="M298" s="482">
        <f ca="1">M223*'B. Implementation Plan'!P386*2080*(1+E19)^M289</f>
        <v>0</v>
      </c>
      <c r="N298" s="482">
        <f ca="1">N223*'B. Implementation Plan'!P386*2080*(1+E19)^N289</f>
        <v>0</v>
      </c>
      <c r="O298" s="482">
        <f ca="1">O223*'B. Implementation Plan'!P386*2080*(1+E19)^O289</f>
        <v>0</v>
      </c>
      <c r="P298" s="488">
        <f t="shared" ca="1" si="153"/>
        <v>0</v>
      </c>
    </row>
    <row r="299" spans="1:16" hidden="1" outlineLevel="1" x14ac:dyDescent="0.3">
      <c r="C299" s="478" t="s">
        <v>745</v>
      </c>
      <c r="E299" s="482">
        <f ca="1">E226*'B. Implementation Plan'!P179*(1+E19)^E289</f>
        <v>0</v>
      </c>
      <c r="F299" s="482">
        <f ca="1">F226*'B. Implementation Plan'!P179*(1+E19)^F289</f>
        <v>0</v>
      </c>
      <c r="G299" s="482">
        <f ca="1">G226*'B. Implementation Plan'!P179*(1+E19)^G289</f>
        <v>0</v>
      </c>
      <c r="H299" s="482">
        <f ca="1">H226*'B. Implementation Plan'!P179*(1+E19)^H289</f>
        <v>0</v>
      </c>
      <c r="I299" s="482">
        <f ca="1">I226*'B. Implementation Plan'!P179*(1+E19)^I289</f>
        <v>0</v>
      </c>
      <c r="J299" s="482">
        <f ca="1">J226*'B. Implementation Plan'!P179*(1+E19)^J289</f>
        <v>0</v>
      </c>
      <c r="K299" s="482">
        <f ca="1">K226*'B. Implementation Plan'!P179*(1+E19)^K289</f>
        <v>0</v>
      </c>
      <c r="L299" s="482">
        <f ca="1">L226*'B. Implementation Plan'!P179*(1+E19)^L289</f>
        <v>0</v>
      </c>
      <c r="M299" s="482">
        <f ca="1">M226*'B. Implementation Plan'!P179*(1+E19)^M289</f>
        <v>0</v>
      </c>
      <c r="N299" s="482">
        <f ca="1">N226*'B. Implementation Plan'!P179*(1+E19)^N289</f>
        <v>0</v>
      </c>
      <c r="O299" s="482">
        <f ca="1">O226*'B. Implementation Plan'!P179*(1+E19)^O289</f>
        <v>0</v>
      </c>
      <c r="P299" s="488">
        <f t="shared" ref="P299:P346" ca="1" si="154">IF(O299=0,IF(N299=0,IF(M299=0,IF(L299=0,IF(K299=0,IF(J299=0,IF(I299=0,IF(H299=0,IF(G299=0,IF(F299=0,E299,F299),G299),H299),I299),J299),K299),L299),M299),N299),O299)</f>
        <v>0</v>
      </c>
    </row>
    <row r="300" spans="1:16" hidden="1" outlineLevel="1" x14ac:dyDescent="0.3">
      <c r="C300" s="478" t="s">
        <v>746</v>
      </c>
      <c r="E300" s="482">
        <f ca="1">E227*'B. Implementation Plan'!P179*(1+E19)^E289</f>
        <v>0</v>
      </c>
      <c r="F300" s="482">
        <f ca="1">F227*'B. Implementation Plan'!P179*(1+E19)^F289</f>
        <v>0</v>
      </c>
      <c r="G300" s="482">
        <f ca="1">G227*'B. Implementation Plan'!P179*(1+E19)^G289</f>
        <v>0</v>
      </c>
      <c r="H300" s="482">
        <f ca="1">H227*'B. Implementation Plan'!P179*(1+E19)^H289</f>
        <v>0</v>
      </c>
      <c r="I300" s="482">
        <f ca="1">I227*'B. Implementation Plan'!P179*(1+E19)^I289</f>
        <v>0</v>
      </c>
      <c r="J300" s="482">
        <f ca="1">J227*'B. Implementation Plan'!P179*(1+E19)^J289</f>
        <v>0</v>
      </c>
      <c r="K300" s="482">
        <f ca="1">K227*'B. Implementation Plan'!P179*(1+E19)^K289</f>
        <v>0</v>
      </c>
      <c r="L300" s="482">
        <f ca="1">L227*'B. Implementation Plan'!P179*(1+E19)^L289</f>
        <v>0</v>
      </c>
      <c r="M300" s="482">
        <f ca="1">M227*'B. Implementation Plan'!P179*(1+E19)^M289</f>
        <v>0</v>
      </c>
      <c r="N300" s="482">
        <f ca="1">N227*'B. Implementation Plan'!P179*(1+E19)^N289</f>
        <v>0</v>
      </c>
      <c r="O300" s="482">
        <f ca="1">O227*'B. Implementation Plan'!P179*(1+E19)^O289</f>
        <v>0</v>
      </c>
      <c r="P300" s="488">
        <f t="shared" ca="1" si="154"/>
        <v>0</v>
      </c>
    </row>
    <row r="301" spans="1:16" hidden="1" outlineLevel="1" x14ac:dyDescent="0.3">
      <c r="C301" s="478" t="s">
        <v>747</v>
      </c>
      <c r="E301" s="482">
        <f ca="1">E228*'B. Implementation Plan'!P179*(1+E19)^E289</f>
        <v>0</v>
      </c>
      <c r="F301" s="482">
        <f ca="1">F228*'B. Implementation Plan'!P179*(1+E19)^F289</f>
        <v>0</v>
      </c>
      <c r="G301" s="482">
        <f ca="1">G228*'B. Implementation Plan'!P179*(1+E19)^G289</f>
        <v>0</v>
      </c>
      <c r="H301" s="482">
        <f ca="1">H228*'B. Implementation Plan'!P179*(1+E19)^H289</f>
        <v>0</v>
      </c>
      <c r="I301" s="482">
        <f ca="1">I228*'B. Implementation Plan'!P179*(1+E19)^I289</f>
        <v>0</v>
      </c>
      <c r="J301" s="482">
        <f ca="1">J228*'B. Implementation Plan'!P179*(1+E19)^J289</f>
        <v>0</v>
      </c>
      <c r="K301" s="482">
        <f ca="1">K228*'B. Implementation Plan'!P179*(1+E19)^K289</f>
        <v>0</v>
      </c>
      <c r="L301" s="482">
        <f ca="1">L228*'B. Implementation Plan'!P179*(1+E19)^L289</f>
        <v>0</v>
      </c>
      <c r="M301" s="482">
        <f ca="1">M228*'B. Implementation Plan'!P179*(1+E19)^M289</f>
        <v>0</v>
      </c>
      <c r="N301" s="482">
        <f ca="1">N228*'B. Implementation Plan'!P179*(1+E19)^N289</f>
        <v>0</v>
      </c>
      <c r="O301" s="482">
        <f ca="1">O228*'B. Implementation Plan'!P179*(1+E19)^O289</f>
        <v>0</v>
      </c>
      <c r="P301" s="488">
        <f t="shared" ca="1" si="154"/>
        <v>0</v>
      </c>
    </row>
    <row r="302" spans="1:16" hidden="1" outlineLevel="1" x14ac:dyDescent="0.3">
      <c r="C302" s="396" t="s">
        <v>917</v>
      </c>
      <c r="E302" s="482">
        <f ca="1">E239*'B. Implementation Plan'!P390*2080*(1+E19)^E289</f>
        <v>17171.240089474337</v>
      </c>
      <c r="F302" s="482">
        <f ca="1">F239*'B. Implementation Plan'!P390*2080*(1+E19)^F289</f>
        <v>17412.392429608128</v>
      </c>
      <c r="G302" s="482">
        <f ca="1">G239*'B. Implementation Plan'!P390*2080*(1+E19)^G289</f>
        <v>20551.001813658175</v>
      </c>
      <c r="H302" s="482">
        <f ca="1">H239*'B. Implementation Plan'!P390*2080*(1+E19)^H289</f>
        <v>20968.304649671431</v>
      </c>
      <c r="I302" s="482">
        <f ca="1">I239*'B. Implementation Plan'!P390*2080*(1+E19)^I289</f>
        <v>21245.371152661322</v>
      </c>
      <c r="J302" s="482">
        <f ca="1">J239*'B. Implementation Plan'!P390*2080*(1+E19)^J289</f>
        <v>21607.849791685847</v>
      </c>
      <c r="K302" s="482">
        <f ca="1">K239*'B. Implementation Plan'!P390*2080*(1+E19)^K289</f>
        <v>21936.933480770316</v>
      </c>
      <c r="L302" s="482">
        <f ca="1">L239*'B. Implementation Plan'!P390*2080*(1+E19)^L289</f>
        <v>22310.07707644644</v>
      </c>
      <c r="M302" s="482">
        <f ca="1">M239*'B. Implementation Plan'!P390*2080*(1+E19)^M289</f>
        <v>22690.418678452836</v>
      </c>
      <c r="N302" s="482">
        <f ca="1">N239*'B. Implementation Plan'!P390*2080*(1+E19)^N289</f>
        <v>23176.961202361734</v>
      </c>
      <c r="O302" s="482">
        <f ca="1">O239*'B. Implementation Plan'!P390*2080*(1+E19)^O289</f>
        <v>23566.226594386364</v>
      </c>
      <c r="P302" s="488">
        <f t="shared" ca="1" si="154"/>
        <v>23566.226594386364</v>
      </c>
    </row>
    <row r="303" spans="1:16" hidden="1" outlineLevel="1" x14ac:dyDescent="0.3">
      <c r="C303" s="396" t="s">
        <v>918</v>
      </c>
      <c r="E303" s="482">
        <f ca="1">E240*'B. Implementation Plan'!P390*2080*(1+E19)^E289</f>
        <v>1218.0291412948925</v>
      </c>
      <c r="F303" s="482">
        <f ca="1">F240*'B. Implementation Plan'!P390*2080*(1+E19)^F289</f>
        <v>1201.8654707305275</v>
      </c>
      <c r="G303" s="482">
        <f ca="1">G240*'B. Implementation Plan'!P390*2080*(1+E19)^G289</f>
        <v>1383.564982528711</v>
      </c>
      <c r="H303" s="482">
        <f ca="1">H240*'B. Implementation Plan'!P390*2080*(1+E19)^H289</f>
        <v>1375.5207850184461</v>
      </c>
      <c r="I303" s="482">
        <f ca="1">I240*'B. Implementation Plan'!P390*2080*(1+E19)^I289</f>
        <v>1358.9082952560284</v>
      </c>
      <c r="J303" s="482">
        <f ca="1">J240*'B. Implementation Plan'!P390*2080*(1+E19)^J289</f>
        <v>1350.4906119803654</v>
      </c>
      <c r="K303" s="482">
        <f ca="1">K240*'B. Implementation Plan'!P390*2080*(1+E19)^K289</f>
        <v>1338.4140962969987</v>
      </c>
      <c r="L303" s="482">
        <f ca="1">L240*'B. Implementation Plan'!P390*2080*(1+E19)^L289</f>
        <v>1331.4602039800639</v>
      </c>
      <c r="M303" s="482">
        <f ca="1">M240*'B. Implementation Plan'!P390*2080*(1+E19)^M289</f>
        <v>1323.3387849453288</v>
      </c>
      <c r="N303" s="482">
        <f ca="1">N240*'B. Implementation Plan'!P390*2080*(1+E19)^N289</f>
        <v>1321.6347834448277</v>
      </c>
      <c r="O303" s="482">
        <f ca="1">O240*'B. Implementation Plan'!P390*2080*(1+E19)^O289</f>
        <v>1316.3696054085026</v>
      </c>
      <c r="P303" s="488">
        <f t="shared" ca="1" si="154"/>
        <v>1316.3696054085026</v>
      </c>
    </row>
    <row r="304" spans="1:16" hidden="1" outlineLevel="1" x14ac:dyDescent="0.3">
      <c r="C304" s="396" t="s">
        <v>919</v>
      </c>
      <c r="E304" s="482">
        <f ca="1">E241*'B. Implementation Plan'!P390*2080*(1+E19)^E289</f>
        <v>0</v>
      </c>
      <c r="F304" s="482">
        <f ca="1">F241*'B. Implementation Plan'!P390*2080*(1+E19)^F289</f>
        <v>0</v>
      </c>
      <c r="G304" s="482">
        <f ca="1">G241*'B. Implementation Plan'!P390*2080*(1+E19)^G289</f>
        <v>0</v>
      </c>
      <c r="H304" s="482">
        <f ca="1">H241*'B. Implementation Plan'!P390*2080*(1+E19)^H289</f>
        <v>0</v>
      </c>
      <c r="I304" s="482">
        <f ca="1">I241*'B. Implementation Plan'!P390*2080*(1+E19)^I289</f>
        <v>0</v>
      </c>
      <c r="J304" s="482">
        <f ca="1">J241*'B. Implementation Plan'!P390*2080*(1+E19)^J289</f>
        <v>0</v>
      </c>
      <c r="K304" s="482">
        <f ca="1">K241*'B. Implementation Plan'!P390*2080*(1+E19)^K289</f>
        <v>0</v>
      </c>
      <c r="L304" s="482">
        <f ca="1">L241*'B. Implementation Plan'!P390*2080*(1+E19)^L289</f>
        <v>0</v>
      </c>
      <c r="M304" s="482">
        <f ca="1">M241*'B. Implementation Plan'!P390*2080*(1+E19)^M289</f>
        <v>0</v>
      </c>
      <c r="N304" s="482">
        <f ca="1">N241*'B. Implementation Plan'!P390*2080*(1+E19)^N289</f>
        <v>0</v>
      </c>
      <c r="O304" s="482">
        <f ca="1">O241*'B. Implementation Plan'!P390*2080*(1+E19)^O289</f>
        <v>0</v>
      </c>
      <c r="P304" s="488">
        <f t="shared" ca="1" si="154"/>
        <v>0</v>
      </c>
    </row>
    <row r="305" spans="1:16" hidden="1" outlineLevel="1" x14ac:dyDescent="0.3">
      <c r="C305" s="478" t="s">
        <v>920</v>
      </c>
      <c r="E305" s="482">
        <f ca="1">(E234-E239)*'B. Implementation Plan'!P389*2080*(1+E19)^E289</f>
        <v>8816.5291412948918</v>
      </c>
      <c r="F305" s="482">
        <f ca="1">(F234-F239)*'B. Implementation Plan'!P389*2080*(1+E19)^F289</f>
        <v>9039.4477445573302</v>
      </c>
      <c r="G305" s="482">
        <f ca="1">(G234-G239)*'B. Implementation Plan'!P389*2080*(1+E19)^G289</f>
        <v>6326.5659506835018</v>
      </c>
      <c r="H305" s="482">
        <f ca="1">(H234-H239)*'B. Implementation Plan'!P389*2080*(1+E19)^H289</f>
        <v>6467.6303143387313</v>
      </c>
      <c r="I305" s="482">
        <f ca="1">(I234-I239)*'B. Implementation Plan'!P389*2080*(1+E19)^I289</f>
        <v>6672.4383388897786</v>
      </c>
      <c r="J305" s="482">
        <f ca="1">(J234-J239)*'B. Implementation Plan'!P389*2080*(1+E19)^J289</f>
        <v>6754.9963567228824</v>
      </c>
      <c r="K305" s="482">
        <f ca="1">(K234-K239)*'B. Implementation Plan'!P389*2080*(1+E19)^K289</f>
        <v>6921.0620391360198</v>
      </c>
      <c r="L305" s="482">
        <f ca="1">(L234-L239)*'B. Implementation Plan'!P389*2080*(1+E19)^L289</f>
        <v>7007.1361214831786</v>
      </c>
      <c r="M305" s="482">
        <f ca="1">(M234-M239)*'B. Implementation Plan'!P389*2080*(1+E19)^M289</f>
        <v>7135.8560508208575</v>
      </c>
      <c r="N305" s="482">
        <f ca="1">(N234-N239)*'B. Implementation Plan'!P389*2080*(1+E19)^N289</f>
        <v>7245.3022066104904</v>
      </c>
      <c r="O305" s="482">
        <f ca="1">(O234-O239)*'B. Implementation Plan'!P389*2080*(1+E19)^O289</f>
        <v>7337.0316300627628</v>
      </c>
      <c r="P305" s="488">
        <f t="shared" ca="1" si="154"/>
        <v>7337.0316300627628</v>
      </c>
    </row>
    <row r="306" spans="1:16" hidden="1" outlineLevel="1" x14ac:dyDescent="0.3">
      <c r="C306" s="478" t="s">
        <v>921</v>
      </c>
      <c r="E306" s="482">
        <f ca="1">(E235-E240)*'B. Implementation Plan'!P389*2080*(1+E19)^E289</f>
        <v>625.39393562818441</v>
      </c>
      <c r="F306" s="482">
        <f ca="1">(F235-F240)*'B. Implementation Plan'!P389*2080*(1+E19)^F289</f>
        <v>623.93494533139824</v>
      </c>
      <c r="G306" s="482">
        <f ca="1">(G235-G240)*'B. Implementation Plan'!P389*2080*(1+E19)^G289</f>
        <v>425.92644331366756</v>
      </c>
      <c r="H306" s="482">
        <f ca="1">(H235-H240)*'B. Implementation Plan'!P389*2080*(1+E19)^H289</f>
        <v>424.27654862062076</v>
      </c>
      <c r="I306" s="482">
        <f ca="1">(I235-I240)*'B. Implementation Plan'!P389*2080*(1+E19)^I289</f>
        <v>426.7862276044944</v>
      </c>
      <c r="J306" s="482">
        <f ca="1">(J235-J240)*'B. Implementation Plan'!P389*2080*(1+E19)^J289</f>
        <v>422.18727229518015</v>
      </c>
      <c r="K306" s="482">
        <f ca="1">(K235-K240)*'B. Implementation Plan'!P389*2080*(1+E19)^K289</f>
        <v>422.26717798300126</v>
      </c>
      <c r="L306" s="482">
        <f ca="1">(L235-L240)*'B. Implementation Plan'!P389*2080*(1+E19)^L289</f>
        <v>418.18425179157248</v>
      </c>
      <c r="M306" s="482">
        <f ca="1">(M235-M240)*'B. Implementation Plan'!P389*2080*(1+E19)^M289</f>
        <v>416.17368148457348</v>
      </c>
      <c r="N306" s="482">
        <f ca="1">(N235-N240)*'B. Implementation Plan'!P389*2080*(1+E19)^N289</f>
        <v>413.15353333940214</v>
      </c>
      <c r="O306" s="482">
        <f ca="1">(O235-O240)*'B. Implementation Plan'!P389*2080*(1+E19)^O289</f>
        <v>409.83419186999078</v>
      </c>
      <c r="P306" s="488">
        <f t="shared" ca="1" si="154"/>
        <v>409.83419186999078</v>
      </c>
    </row>
    <row r="307" spans="1:16" hidden="1" outlineLevel="1" x14ac:dyDescent="0.3">
      <c r="C307" s="478" t="s">
        <v>922</v>
      </c>
      <c r="E307" s="482">
        <f ca="1">(E236-E241)*'B. Implementation Plan'!P389*2080*(1+E19)^E289</f>
        <v>0</v>
      </c>
      <c r="F307" s="482">
        <f ca="1">(F236-F241)*'B. Implementation Plan'!P389*2080*(1+E19)^F289</f>
        <v>0</v>
      </c>
      <c r="G307" s="482">
        <f ca="1">(G236-G241)*'B. Implementation Plan'!P389*2080*(1+E19)^G289</f>
        <v>0</v>
      </c>
      <c r="H307" s="482">
        <f ca="1">(H236-H241)*'B. Implementation Plan'!P389*2080*(1+E19)^H289</f>
        <v>0</v>
      </c>
      <c r="I307" s="482">
        <f ca="1">(I236-I241)*'B. Implementation Plan'!P389*2080*(1+E19)^I289</f>
        <v>0</v>
      </c>
      <c r="J307" s="482">
        <f ca="1">(J236-J241)*'B. Implementation Plan'!P389*2080*(1+E19)^J289</f>
        <v>0</v>
      </c>
      <c r="K307" s="482">
        <f ca="1">(K236-K241)*'B. Implementation Plan'!P389*2080*(1+E19)^K289</f>
        <v>0</v>
      </c>
      <c r="L307" s="482">
        <f ca="1">(L236-L241)*'B. Implementation Plan'!P389*2080*(1+E19)^L289</f>
        <v>0</v>
      </c>
      <c r="M307" s="482">
        <f ca="1">(M236-M241)*'B. Implementation Plan'!P389*2080*(1+E19)^M289</f>
        <v>0</v>
      </c>
      <c r="N307" s="482">
        <f ca="1">(N236-N241)*'B. Implementation Plan'!P389*2080*(1+E19)^N289</f>
        <v>0</v>
      </c>
      <c r="O307" s="482">
        <f ca="1">(O236-O241)*'B. Implementation Plan'!P389*2080*(1+E19)^O289</f>
        <v>0</v>
      </c>
      <c r="P307" s="488">
        <f t="shared" ca="1" si="154"/>
        <v>0</v>
      </c>
    </row>
    <row r="308" spans="1:16" hidden="1" outlineLevel="1" x14ac:dyDescent="0.3">
      <c r="C308" s="396" t="s">
        <v>752</v>
      </c>
      <c r="E308" s="482">
        <f t="shared" ref="E308:O308" ca="1" si="155">IF(E189&gt;0,SUM(E259:E260)*(E194/E197),0)</f>
        <v>113491.86319354839</v>
      </c>
      <c r="F308" s="482">
        <f t="shared" ca="1" si="155"/>
        <v>114878.9140656378</v>
      </c>
      <c r="G308" s="482">
        <f t="shared" ca="1" si="155"/>
        <v>116292.22811426605</v>
      </c>
      <c r="H308" s="482">
        <f t="shared" ca="1" si="155"/>
        <v>117708.0709865994</v>
      </c>
      <c r="I308" s="482">
        <f t="shared" ca="1" si="155"/>
        <v>119150.79807776398</v>
      </c>
      <c r="J308" s="482">
        <f t="shared" ca="1" si="155"/>
        <v>120609.13435258828</v>
      </c>
      <c r="K308" s="482">
        <f t="shared" ca="1" si="155"/>
        <v>122073.36685393006</v>
      </c>
      <c r="L308" s="482">
        <f t="shared" ca="1" si="155"/>
        <v>123565.39288250821</v>
      </c>
      <c r="M308" s="482">
        <f t="shared" ca="1" si="155"/>
        <v>125075.08242225451</v>
      </c>
      <c r="N308" s="482">
        <f t="shared" ca="1" si="155"/>
        <v>126593.59701757442</v>
      </c>
      <c r="O308" s="482">
        <f t="shared" ca="1" si="155"/>
        <v>128140.82445550332</v>
      </c>
      <c r="P308" s="488">
        <f t="shared" ca="1" si="154"/>
        <v>128140.82445550332</v>
      </c>
    </row>
    <row r="309" spans="1:16" hidden="1" outlineLevel="1" x14ac:dyDescent="0.3">
      <c r="C309" s="396" t="s">
        <v>753</v>
      </c>
      <c r="E309" s="482">
        <f t="shared" ref="E309:O309" ca="1" si="156">IF(E189&gt;0,SUM(E259:E260)*(E195/E197),0)</f>
        <v>8036.5568064516128</v>
      </c>
      <c r="F309" s="482">
        <f t="shared" ca="1" si="156"/>
        <v>7929.3526543622047</v>
      </c>
      <c r="G309" s="482">
        <f t="shared" ca="1" si="156"/>
        <v>7816.3628732539473</v>
      </c>
      <c r="H309" s="482">
        <f t="shared" ca="1" si="156"/>
        <v>7721.6494567209202</v>
      </c>
      <c r="I309" s="482">
        <f t="shared" ca="1" si="156"/>
        <v>7621.1898926494896</v>
      </c>
      <c r="J309" s="482">
        <f t="shared" ca="1" si="156"/>
        <v>7526.5974253517807</v>
      </c>
      <c r="K309" s="482">
        <f t="shared" ca="1" si="156"/>
        <v>7447.9286324570421</v>
      </c>
      <c r="L309" s="482">
        <f t="shared" ca="1" si="156"/>
        <v>7363.6353316610994</v>
      </c>
      <c r="M309" s="482">
        <f t="shared" ca="1" si="156"/>
        <v>7284.2022433415268</v>
      </c>
      <c r="N309" s="482">
        <f t="shared" ca="1" si="156"/>
        <v>7218.8282026711422</v>
      </c>
      <c r="O309" s="482">
        <f t="shared" ca="1" si="156"/>
        <v>7147.9915682661722</v>
      </c>
      <c r="P309" s="488">
        <f t="shared" ca="1" si="154"/>
        <v>7147.9915682661722</v>
      </c>
    </row>
    <row r="310" spans="1:16" hidden="1" outlineLevel="1" x14ac:dyDescent="0.3">
      <c r="C310" s="396" t="s">
        <v>754</v>
      </c>
      <c r="E310" s="482">
        <f t="shared" ref="E310:O310" ca="1" si="157">IF(E189&gt;0,SUM(E259:E260)*(E196/E197),0)</f>
        <v>0</v>
      </c>
      <c r="F310" s="482">
        <f t="shared" ca="1" si="157"/>
        <v>0</v>
      </c>
      <c r="G310" s="482">
        <f t="shared" ca="1" si="157"/>
        <v>0</v>
      </c>
      <c r="H310" s="482">
        <f t="shared" ca="1" si="157"/>
        <v>0</v>
      </c>
      <c r="I310" s="482">
        <f t="shared" ca="1" si="157"/>
        <v>0</v>
      </c>
      <c r="J310" s="482">
        <f t="shared" ca="1" si="157"/>
        <v>0</v>
      </c>
      <c r="K310" s="482">
        <f t="shared" ca="1" si="157"/>
        <v>0</v>
      </c>
      <c r="L310" s="482">
        <f t="shared" ca="1" si="157"/>
        <v>0</v>
      </c>
      <c r="M310" s="482">
        <f t="shared" ca="1" si="157"/>
        <v>0</v>
      </c>
      <c r="N310" s="482">
        <f t="shared" ca="1" si="157"/>
        <v>0</v>
      </c>
      <c r="O310" s="482">
        <f t="shared" ca="1" si="157"/>
        <v>0</v>
      </c>
      <c r="P310" s="488">
        <f t="shared" ca="1" si="154"/>
        <v>0</v>
      </c>
    </row>
    <row r="311" spans="1:16" hidden="1" outlineLevel="1" x14ac:dyDescent="0.3">
      <c r="C311" s="396" t="s">
        <v>759</v>
      </c>
      <c r="E311" s="482">
        <f t="shared" ref="E311:O311" ca="1" si="158">IFERROR(E263*(E206+E234)/(E209+E237),0)</f>
        <v>10200.569241584</v>
      </c>
      <c r="F311" s="482">
        <f t="shared" ca="1" si="158"/>
        <v>10376.547204644414</v>
      </c>
      <c r="G311" s="482">
        <f t="shared" ca="1" si="158"/>
        <v>10554.917516734584</v>
      </c>
      <c r="H311" s="482">
        <f t="shared" ca="1" si="158"/>
        <v>10756.63688205128</v>
      </c>
      <c r="I311" s="482">
        <f t="shared" ca="1" si="158"/>
        <v>10945.562439801262</v>
      </c>
      <c r="J311" s="482">
        <f t="shared" ca="1" si="158"/>
        <v>11131.323728566158</v>
      </c>
      <c r="K311" s="482">
        <f t="shared" ca="1" si="158"/>
        <v>11319.750732346798</v>
      </c>
      <c r="L311" s="482">
        <f t="shared" ca="1" si="158"/>
        <v>11510.904932644042</v>
      </c>
      <c r="M311" s="482">
        <f t="shared" ca="1" si="158"/>
        <v>11710.403501463965</v>
      </c>
      <c r="N311" s="482">
        <f t="shared" ca="1" si="158"/>
        <v>11927.468156259207</v>
      </c>
      <c r="O311" s="482">
        <f t="shared" ca="1" si="158"/>
        <v>12127.048794151995</v>
      </c>
      <c r="P311" s="488">
        <f t="shared" ca="1" si="154"/>
        <v>12127.048794151995</v>
      </c>
    </row>
    <row r="312" spans="1:16" hidden="1" outlineLevel="1" x14ac:dyDescent="0.3">
      <c r="C312" s="396" t="s">
        <v>760</v>
      </c>
      <c r="E312" s="482">
        <f t="shared" ref="E312:O312" ca="1" si="159">IFERROR(E263*(E207+E235)/(E209+E237),0)</f>
        <v>722.94440605867601</v>
      </c>
      <c r="F312" s="482">
        <f t="shared" ca="1" si="159"/>
        <v>716.22632220609592</v>
      </c>
      <c r="G312" s="482">
        <f t="shared" ca="1" si="159"/>
        <v>710.01085838575534</v>
      </c>
      <c r="H312" s="482">
        <f t="shared" ca="1" si="159"/>
        <v>705.63537946256406</v>
      </c>
      <c r="I312" s="482">
        <f t="shared" ca="1" si="159"/>
        <v>700.10617789680452</v>
      </c>
      <c r="J312" s="482">
        <f t="shared" ca="1" si="159"/>
        <v>695.17787185257043</v>
      </c>
      <c r="K312" s="482">
        <f t="shared" ca="1" si="159"/>
        <v>690.63955361044452</v>
      </c>
      <c r="L312" s="482">
        <f t="shared" ca="1" si="159"/>
        <v>686.46851234677183</v>
      </c>
      <c r="M312" s="482">
        <f t="shared" ca="1" si="159"/>
        <v>682.48264898368529</v>
      </c>
      <c r="N312" s="482">
        <f t="shared" ca="1" si="159"/>
        <v>680.14769736665846</v>
      </c>
      <c r="O312" s="482">
        <f t="shared" ca="1" si="159"/>
        <v>676.93533091930806</v>
      </c>
      <c r="P312" s="488">
        <f t="shared" ca="1" si="154"/>
        <v>676.93533091930806</v>
      </c>
    </row>
    <row r="313" spans="1:16" hidden="1" outlineLevel="1" x14ac:dyDescent="0.3">
      <c r="C313" s="396" t="s">
        <v>761</v>
      </c>
      <c r="E313" s="482">
        <f t="shared" ref="E313:O313" ca="1" si="160">IFERROR(E263*(E208+E236)/(E209+E237),0)</f>
        <v>0</v>
      </c>
      <c r="F313" s="482">
        <f t="shared" ca="1" si="160"/>
        <v>0</v>
      </c>
      <c r="G313" s="482">
        <f t="shared" ca="1" si="160"/>
        <v>0</v>
      </c>
      <c r="H313" s="482">
        <f t="shared" ca="1" si="160"/>
        <v>0</v>
      </c>
      <c r="I313" s="482">
        <f t="shared" ca="1" si="160"/>
        <v>0</v>
      </c>
      <c r="J313" s="482">
        <f t="shared" ca="1" si="160"/>
        <v>0</v>
      </c>
      <c r="K313" s="482">
        <f t="shared" ca="1" si="160"/>
        <v>0</v>
      </c>
      <c r="L313" s="482">
        <f t="shared" ca="1" si="160"/>
        <v>0</v>
      </c>
      <c r="M313" s="482">
        <f t="shared" ca="1" si="160"/>
        <v>0</v>
      </c>
      <c r="N313" s="482">
        <f t="shared" ca="1" si="160"/>
        <v>0</v>
      </c>
      <c r="O313" s="482">
        <f t="shared" ca="1" si="160"/>
        <v>0</v>
      </c>
      <c r="P313" s="488">
        <f t="shared" ca="1" si="154"/>
        <v>0</v>
      </c>
    </row>
    <row r="314" spans="1:16" s="1" customFormat="1" hidden="1" outlineLevel="1" x14ac:dyDescent="0.3">
      <c r="A314"/>
      <c r="B314"/>
      <c r="C314" s="409" t="s">
        <v>758</v>
      </c>
      <c r="E314" s="486">
        <f ca="1">E290+E293+E296+E299+E302+E305+E308+E311</f>
        <v>215828.07821677008</v>
      </c>
      <c r="F314" s="486">
        <f t="shared" ref="F314:O314" ca="1" si="161">F290+F293+F296+F299+F302+F305+F308+F311</f>
        <v>218920.11418755364</v>
      </c>
      <c r="G314" s="486">
        <f t="shared" ca="1" si="161"/>
        <v>222131.42095437963</v>
      </c>
      <c r="H314" s="486">
        <f t="shared" ca="1" si="161"/>
        <v>225613.9915836888</v>
      </c>
      <c r="I314" s="486">
        <f t="shared" ca="1" si="161"/>
        <v>228951.93801309718</v>
      </c>
      <c r="J314" s="486">
        <f t="shared" ca="1" si="161"/>
        <v>232281.74893224737</v>
      </c>
      <c r="K314" s="486">
        <f t="shared" ca="1" si="161"/>
        <v>235577.84713488858</v>
      </c>
      <c r="L314" s="486">
        <f t="shared" ca="1" si="161"/>
        <v>238995.52752840158</v>
      </c>
      <c r="M314" s="486">
        <f t="shared" ca="1" si="161"/>
        <v>242506.64932434395</v>
      </c>
      <c r="N314" s="486">
        <f t="shared" ca="1" si="161"/>
        <v>246244.78966322407</v>
      </c>
      <c r="O314" s="486">
        <f t="shared" ca="1" si="161"/>
        <v>249801.75694561045</v>
      </c>
      <c r="P314" s="489">
        <f t="shared" ca="1" si="154"/>
        <v>249801.75694561045</v>
      </c>
    </row>
    <row r="315" spans="1:16" s="1" customFormat="1" hidden="1" outlineLevel="1" x14ac:dyDescent="0.3">
      <c r="A315"/>
      <c r="B315"/>
      <c r="C315" s="409" t="s">
        <v>756</v>
      </c>
      <c r="E315" s="486">
        <f ca="1">E291+E294+E297+E300+E303+E306+E309+E312</f>
        <v>15286.970815487955</v>
      </c>
      <c r="F315" s="486">
        <f t="shared" ref="F315:O315" ca="1" si="162">F291+F294+F297+F300+F303+F306+F309+F312</f>
        <v>15110.647612272218</v>
      </c>
      <c r="G315" s="486">
        <f t="shared" ca="1" si="162"/>
        <v>14933.693042597701</v>
      </c>
      <c r="H315" s="486">
        <f t="shared" ca="1" si="162"/>
        <v>14800.277847889985</v>
      </c>
      <c r="I315" s="486">
        <f t="shared" ca="1" si="162"/>
        <v>14644.351729386872</v>
      </c>
      <c r="J315" s="486">
        <f t="shared" ca="1" si="162"/>
        <v>14498.739684995962</v>
      </c>
      <c r="K315" s="486">
        <f t="shared" ca="1" si="162"/>
        <v>14373.053173408382</v>
      </c>
      <c r="L315" s="486">
        <f t="shared" ca="1" si="162"/>
        <v>14245.50800490757</v>
      </c>
      <c r="M315" s="486">
        <f t="shared" ca="1" si="162"/>
        <v>14126.212181944637</v>
      </c>
      <c r="N315" s="486">
        <f t="shared" ca="1" si="162"/>
        <v>14041.775210281205</v>
      </c>
      <c r="O315" s="486">
        <f t="shared" ca="1" si="162"/>
        <v>13937.328852017372</v>
      </c>
      <c r="P315" s="489">
        <f t="shared" ca="1" si="154"/>
        <v>13937.328852017372</v>
      </c>
    </row>
    <row r="316" spans="1:16" s="1" customFormat="1" hidden="1" outlineLevel="1" x14ac:dyDescent="0.3">
      <c r="A316"/>
      <c r="B316"/>
      <c r="C316" s="409" t="s">
        <v>757</v>
      </c>
      <c r="E316" s="486">
        <f ca="1">E292+E295+E298+E301+E304+E307+E310+E313</f>
        <v>0</v>
      </c>
      <c r="F316" s="486">
        <f t="shared" ref="F316:O316" ca="1" si="163">F292+F295+F298+F301+F304+F307+F310+F313</f>
        <v>0</v>
      </c>
      <c r="G316" s="486">
        <f t="shared" ca="1" si="163"/>
        <v>0</v>
      </c>
      <c r="H316" s="486">
        <f t="shared" ca="1" si="163"/>
        <v>0</v>
      </c>
      <c r="I316" s="486">
        <f t="shared" ca="1" si="163"/>
        <v>0</v>
      </c>
      <c r="J316" s="486">
        <f t="shared" ca="1" si="163"/>
        <v>0</v>
      </c>
      <c r="K316" s="486">
        <f t="shared" ca="1" si="163"/>
        <v>0</v>
      </c>
      <c r="L316" s="486">
        <f t="shared" ca="1" si="163"/>
        <v>0</v>
      </c>
      <c r="M316" s="486">
        <f t="shared" ca="1" si="163"/>
        <v>0</v>
      </c>
      <c r="N316" s="486">
        <f t="shared" ca="1" si="163"/>
        <v>0</v>
      </c>
      <c r="O316" s="486">
        <f t="shared" ca="1" si="163"/>
        <v>0</v>
      </c>
      <c r="P316" s="489">
        <f t="shared" ca="1" si="154"/>
        <v>0</v>
      </c>
    </row>
    <row r="317" spans="1:16" hidden="1" outlineLevel="1" x14ac:dyDescent="0.3">
      <c r="C317" s="433" t="s">
        <v>765</v>
      </c>
      <c r="E317" s="482">
        <f ca="1">E314*'B. Implementation Plan'!P415</f>
        <v>9604.3494806462677</v>
      </c>
      <c r="F317" s="482">
        <f ca="1">F314*'B. Implementation Plan'!P415</f>
        <v>9741.9450813461372</v>
      </c>
      <c r="G317" s="482">
        <f ca="1">G314*'B. Implementation Plan'!P415</f>
        <v>9884.8482324698925</v>
      </c>
      <c r="H317" s="482">
        <f ca="1">H314*'B. Implementation Plan'!P415</f>
        <v>10039.822625474151</v>
      </c>
      <c r="I317" s="482">
        <f ca="1">I314*'B. Implementation Plan'!P415</f>
        <v>10188.361241582825</v>
      </c>
      <c r="J317" s="482">
        <f ca="1">J314*'B. Implementation Plan'!P415</f>
        <v>10336.537827485008</v>
      </c>
      <c r="K317" s="482">
        <f ca="1">K314*'B. Implementation Plan'!P415</f>
        <v>10483.214197502541</v>
      </c>
      <c r="L317" s="482">
        <f ca="1">L314*'B. Implementation Plan'!P415</f>
        <v>10635.30097501387</v>
      </c>
      <c r="M317" s="482">
        <f ca="1">M314*'B. Implementation Plan'!P415</f>
        <v>10791.545894933306</v>
      </c>
      <c r="N317" s="482">
        <f ca="1">N314*'B. Implementation Plan'!P415</f>
        <v>10957.893140013472</v>
      </c>
      <c r="O317" s="482">
        <f ca="1">O314*'B. Implementation Plan'!P415</f>
        <v>11116.178184079665</v>
      </c>
      <c r="P317" s="488">
        <f t="shared" ca="1" si="154"/>
        <v>11116.178184079665</v>
      </c>
    </row>
    <row r="318" spans="1:16" hidden="1" outlineLevel="1" x14ac:dyDescent="0.3">
      <c r="C318" s="433" t="s">
        <v>766</v>
      </c>
      <c r="E318" s="482">
        <f ca="1">E315*'B. Implementation Plan'!P415</f>
        <v>680.27020128921401</v>
      </c>
      <c r="F318" s="482">
        <f ca="1">F315*'B. Implementation Plan'!P415</f>
        <v>672.42381874611362</v>
      </c>
      <c r="G318" s="482">
        <f ca="1">G315*'B. Implementation Plan'!P415</f>
        <v>664.5493403955976</v>
      </c>
      <c r="H318" s="482">
        <f ca="1">H315*'B. Implementation Plan'!P415</f>
        <v>658.61236423110427</v>
      </c>
      <c r="I318" s="482">
        <f ca="1">I315*'B. Implementation Plan'!P415</f>
        <v>651.67365195771572</v>
      </c>
      <c r="J318" s="482">
        <f ca="1">J315*'B. Implementation Plan'!P415</f>
        <v>645.19391598232028</v>
      </c>
      <c r="K318" s="482">
        <f ca="1">K315*'B. Implementation Plan'!P415</f>
        <v>639.6008662166729</v>
      </c>
      <c r="L318" s="482">
        <f ca="1">L315*'B. Implementation Plan'!P415</f>
        <v>633.92510621838676</v>
      </c>
      <c r="M318" s="482">
        <f ca="1">M315*'B. Implementation Plan'!P415</f>
        <v>628.61644209653628</v>
      </c>
      <c r="N318" s="482">
        <f ca="1">N315*'B. Implementation Plan'!P415</f>
        <v>624.8589968575136</v>
      </c>
      <c r="O318" s="482">
        <f ca="1">O315*'B. Implementation Plan'!P415</f>
        <v>620.21113391477297</v>
      </c>
      <c r="P318" s="488">
        <f t="shared" ca="1" si="154"/>
        <v>620.21113391477297</v>
      </c>
    </row>
    <row r="319" spans="1:16" hidden="1" outlineLevel="1" x14ac:dyDescent="0.3">
      <c r="C319" s="433" t="s">
        <v>767</v>
      </c>
      <c r="E319" s="482">
        <f ca="1">E316*'B. Implementation Plan'!P415</f>
        <v>0</v>
      </c>
      <c r="F319" s="482">
        <f ca="1">F316*'B. Implementation Plan'!P415</f>
        <v>0</v>
      </c>
      <c r="G319" s="482">
        <f ca="1">G316*'B. Implementation Plan'!P415</f>
        <v>0</v>
      </c>
      <c r="H319" s="482">
        <f ca="1">H316*'B. Implementation Plan'!P415</f>
        <v>0</v>
      </c>
      <c r="I319" s="482">
        <f ca="1">I316*'B. Implementation Plan'!P415</f>
        <v>0</v>
      </c>
      <c r="J319" s="482">
        <f ca="1">J316*'B. Implementation Plan'!P415</f>
        <v>0</v>
      </c>
      <c r="K319" s="482">
        <f ca="1">K316*'B. Implementation Plan'!P415</f>
        <v>0</v>
      </c>
      <c r="L319" s="482">
        <f ca="1">L316*'B. Implementation Plan'!P415</f>
        <v>0</v>
      </c>
      <c r="M319" s="482">
        <f ca="1">M316*'B. Implementation Plan'!P415</f>
        <v>0</v>
      </c>
      <c r="N319" s="482">
        <f ca="1">N316*'B. Implementation Plan'!P415</f>
        <v>0</v>
      </c>
      <c r="O319" s="482">
        <f ca="1">O316*'B. Implementation Plan'!P415</f>
        <v>0</v>
      </c>
      <c r="P319" s="488">
        <f t="shared" ca="1" si="154"/>
        <v>0</v>
      </c>
    </row>
    <row r="320" spans="1:16" hidden="1" outlineLevel="1" x14ac:dyDescent="0.3">
      <c r="C320" s="433" t="s">
        <v>762</v>
      </c>
      <c r="E320" s="482">
        <f ca="1">IF(OR('B. Implementation Plan'!M418="Y",'B. Implementation Plan'!M418="Yes"),'B. Implementation Plan'!N418*SUM(E290,E293,E296,E299,E302,E305,E308),(E206+E234+SUM(E243:E244)*(E194/E197))*'B. Implementation Plan'!E418)</f>
        <v>0</v>
      </c>
      <c r="F320" s="482">
        <f ca="1">IF(OR('B. Implementation Plan'!M418="Y",'B. Implementation Plan'!M418="Yes"),'B. Implementation Plan'!N418*SUM(F290,F293,F296,F299,F302,F305,F308),(F206+F234+SUM(F243:F244)*(F194/F197))*'B. Implementation Plan'!E418)</f>
        <v>0</v>
      </c>
      <c r="G320" s="482">
        <f ca="1">IF(OR('B. Implementation Plan'!M418="Y",'B. Implementation Plan'!M418="Yes"),'B. Implementation Plan'!N418*SUM(G290,G293,G296,G299,G302,G305,G308),(G206+G234+SUM(G243:G244)*(G194/G197))*'B. Implementation Plan'!E418)</f>
        <v>0</v>
      </c>
      <c r="H320" s="482">
        <f ca="1">IF(OR('B. Implementation Plan'!M418="Y",'B. Implementation Plan'!M418="Yes"),'B. Implementation Plan'!N418*SUM(H290,H293,H296,H299,H302,H305,H308),(H206+H234+SUM(H243:H244)*(H194/H197))*'B. Implementation Plan'!E418)</f>
        <v>0</v>
      </c>
      <c r="I320" s="482">
        <f ca="1">IF(OR('B. Implementation Plan'!M418="Y",'B. Implementation Plan'!M418="Yes"),'B. Implementation Plan'!N418*SUM(I290,I293,I296,I299,I302,I305,I308),(I206+I234+SUM(I243:I244)*(I194/I197))*'B. Implementation Plan'!E418)</f>
        <v>0</v>
      </c>
      <c r="J320" s="482">
        <f ca="1">IF(OR('B. Implementation Plan'!M418="Y",'B. Implementation Plan'!M418="Yes"),'B. Implementation Plan'!N418*SUM(J290,J293,J296,J299,J302,J305,J308),(J206+J234+SUM(J243:J244)*(J194/J197))*'B. Implementation Plan'!E418)</f>
        <v>0</v>
      </c>
      <c r="K320" s="482">
        <f ca="1">IF(OR('B. Implementation Plan'!M418="Y",'B. Implementation Plan'!M418="Yes"),'B. Implementation Plan'!N418*SUM(K290,K293,K296,K299,K302,K305,K308),(K206+K234+SUM(K243:K244)*(K194/K197))*'B. Implementation Plan'!E418)</f>
        <v>0</v>
      </c>
      <c r="L320" s="482">
        <f ca="1">IF(OR('B. Implementation Plan'!M418="Y",'B. Implementation Plan'!M418="Yes"),'B. Implementation Plan'!N418*SUM(L290,L293,L296,L299,L302,L305,L308),(L206+L234+SUM(L243:L244)*(L194/L197))*'B. Implementation Plan'!E418)</f>
        <v>0</v>
      </c>
      <c r="M320" s="482">
        <f ca="1">IF(OR('B. Implementation Plan'!M418="Y",'B. Implementation Plan'!M418="Yes"),'B. Implementation Plan'!N418*SUM(M290,M293,M296,M299,M302,M305,M308),(M206+M234+SUM(M243:M244)*(M194/M197))*'B. Implementation Plan'!E418)</f>
        <v>0</v>
      </c>
      <c r="N320" s="482">
        <f ca="1">IF(OR('B. Implementation Plan'!M418="Y",'B. Implementation Plan'!M418="Yes"),'B. Implementation Plan'!N418*SUM(N290,N293,N296,N299,N302,N305,N308),(N206+N234+SUM(N243:N244)*(N194/N197))*'B. Implementation Plan'!E418)</f>
        <v>0</v>
      </c>
      <c r="O320" s="482">
        <f ca="1">IF(OR('B. Implementation Plan'!M418="Y",'B. Implementation Plan'!M418="Yes"),'B. Implementation Plan'!N418*SUM(O290,O293,O296,O299,O302,O305,O308),(O206+O234+SUM(O243:O244)*(O194/O197))*'B. Implementation Plan'!E418)</f>
        <v>0</v>
      </c>
      <c r="P320" s="488">
        <f t="shared" ca="1" si="154"/>
        <v>0</v>
      </c>
    </row>
    <row r="321" spans="3:16" hidden="1" outlineLevel="1" x14ac:dyDescent="0.3">
      <c r="C321" s="433" t="s">
        <v>763</v>
      </c>
      <c r="E321" s="482">
        <f ca="1">IF(OR('B. Implementation Plan'!M418="Y",'B. Implementation Plan'!M418="Yes"),'B. Implementation Plan'!N418*SUM(E291,E294,E297,E300,E303,E306,E309),(E207+E235+SUM(E243:E244)*(E195/E197))*'B. Implementation Plan'!E418)</f>
        <v>0</v>
      </c>
      <c r="F321" s="482">
        <f ca="1">IF(OR('B. Implementation Plan'!M418="Y",'B. Implementation Plan'!M418="Yes"),'B. Implementation Plan'!N418*SUM(F291,F294,F297,F300,F303,F306,F309),(F207+F235+SUM(F243:F244)*(F195/F197))*'B. Implementation Plan'!E418)</f>
        <v>0</v>
      </c>
      <c r="G321" s="482">
        <f ca="1">IF(OR('B. Implementation Plan'!M418="Y",'B. Implementation Plan'!M418="Yes"),'B. Implementation Plan'!N418*SUM(G291,G294,G297,G300,G303,G306,G309),(G207+G235+SUM(G243:G244)*(G195/G197))*'B. Implementation Plan'!E418)</f>
        <v>0</v>
      </c>
      <c r="H321" s="482">
        <f ca="1">IF(OR('B. Implementation Plan'!M418="Y",'B. Implementation Plan'!M418="Yes"),'B. Implementation Plan'!N418*SUM(H291,H294,H297,H300,H303,H306,H309),(H207+H235+SUM(H243:H244)*(H195/H197))*'B. Implementation Plan'!E418)</f>
        <v>0</v>
      </c>
      <c r="I321" s="482">
        <f ca="1">IF(OR('B. Implementation Plan'!M418="Y",'B. Implementation Plan'!M418="Yes"),'B. Implementation Plan'!N418*SUM(I291,I294,I297,I300,I303,I306,I309),(I207+I235+SUM(I243:I244)*(I195/I197))*'B. Implementation Plan'!E418)</f>
        <v>0</v>
      </c>
      <c r="J321" s="482">
        <f ca="1">IF(OR('B. Implementation Plan'!M418="Y",'B. Implementation Plan'!M418="Yes"),'B. Implementation Plan'!N418*SUM(J291,J294,J297,J300,J303,J306,J309),(J207+J235+SUM(J243:J244)*(J195/J197))*'B. Implementation Plan'!E418)</f>
        <v>0</v>
      </c>
      <c r="K321" s="482">
        <f ca="1">IF(OR('B. Implementation Plan'!M418="Y",'B. Implementation Plan'!M418="Yes"),'B. Implementation Plan'!N418*SUM(K291,K294,K297,K300,K303,K306,K309),(K207+K235+SUM(K243:K244)*(K195/K197))*'B. Implementation Plan'!E418)</f>
        <v>0</v>
      </c>
      <c r="L321" s="482">
        <f ca="1">IF(OR('B. Implementation Plan'!M418="Y",'B. Implementation Plan'!M418="Yes"),'B. Implementation Plan'!N418*SUM(L291,L294,L297,L300,L303,L306,L309),(L207+L235+SUM(L243:L244)*(L195/L197))*'B. Implementation Plan'!E418)</f>
        <v>0</v>
      </c>
      <c r="M321" s="482">
        <f ca="1">IF(OR('B. Implementation Plan'!M418="Y",'B. Implementation Plan'!M418="Yes"),'B. Implementation Plan'!N418*SUM(M291,M294,M297,M300,M303,M306,M309),(M207+M235+SUM(M243:M244)*(M195/M197))*'B. Implementation Plan'!E418)</f>
        <v>0</v>
      </c>
      <c r="N321" s="482">
        <f ca="1">IF(OR('B. Implementation Plan'!M418="Y",'B. Implementation Plan'!M418="Yes"),'B. Implementation Plan'!N418*SUM(N291,N294,N297,N300,N303,N306,N309),(N207+N235+SUM(N243:N244)*(N195/N197))*'B. Implementation Plan'!E418)</f>
        <v>0</v>
      </c>
      <c r="O321" s="482">
        <f ca="1">IF(OR('B. Implementation Plan'!M418="Y",'B. Implementation Plan'!M418="Yes"),'B. Implementation Plan'!N418*SUM(O291,O294,O297,O300,O303,O306,O309),(O207+O235+SUM(O243:O244)*(O195/O197))*'B. Implementation Plan'!E418)</f>
        <v>0</v>
      </c>
      <c r="P321" s="488">
        <f t="shared" ca="1" si="154"/>
        <v>0</v>
      </c>
    </row>
    <row r="322" spans="3:16" hidden="1" outlineLevel="1" x14ac:dyDescent="0.3">
      <c r="C322" s="433" t="s">
        <v>764</v>
      </c>
      <c r="E322" s="482">
        <f ca="1">IF(OR('B. Implementation Plan'!M418="Y",'B. Implementation Plan'!M418="Yes"),'B. Implementation Plan'!N418*SUM(E292,E295,E298,E301,E304,E307,E310),(E208+E236+SUM(E243:E244)*(E196/E197))*'B. Implementation Plan'!E418)</f>
        <v>0</v>
      </c>
      <c r="F322" s="482">
        <f ca="1">IF(OR('B. Implementation Plan'!M418="Y",'B. Implementation Plan'!M418="Yes"),'B. Implementation Plan'!N418*SUM(F292,F295,F298,F301,F304,F307,F310),(F208+F236+SUM(F243:F244)*(F196/F197))*'B. Implementation Plan'!E418)</f>
        <v>0</v>
      </c>
      <c r="G322" s="482">
        <f ca="1">IF(OR('B. Implementation Plan'!M418="Y",'B. Implementation Plan'!M418="Yes"),'B. Implementation Plan'!N418*SUM(G292,G295,G298,G301,G304,G307,G310),(G208+G236+SUM(G243:G244)*(G196/G197))*'B. Implementation Plan'!E418)</f>
        <v>0</v>
      </c>
      <c r="H322" s="482">
        <f ca="1">IF(OR('B. Implementation Plan'!M418="Y",'B. Implementation Plan'!M418="Yes"),'B. Implementation Plan'!N418*SUM(H292,H295,H298,H301,H304,H307,H310),(H208+H236+SUM(H243:H244)*(H196/H197))*'B. Implementation Plan'!E418)</f>
        <v>0</v>
      </c>
      <c r="I322" s="482">
        <f ca="1">IF(OR('B. Implementation Plan'!M418="Y",'B. Implementation Plan'!M418="Yes"),'B. Implementation Plan'!N418*SUM(I292,I295,I298,I301,I304,I307,I310),(I208+I236+SUM(I243:I244)*(I196/I197))*'B. Implementation Plan'!E418)</f>
        <v>0</v>
      </c>
      <c r="J322" s="482">
        <f ca="1">IF(OR('B. Implementation Plan'!M418="Y",'B. Implementation Plan'!M418="Yes"),'B. Implementation Plan'!N418*SUM(J292,J295,J298,J301,J304,J307,J310),(J208+J236+SUM(J243:J244)*(J196/J197))*'B. Implementation Plan'!E418)</f>
        <v>0</v>
      </c>
      <c r="K322" s="482">
        <f ca="1">IF(OR('B. Implementation Plan'!M418="Y",'B. Implementation Plan'!M418="Yes"),'B. Implementation Plan'!N418*SUM(K292,K295,K298,K301,K304,K307,K310),(K208+K236+SUM(K243:K244)*(K196/K197))*'B. Implementation Plan'!E418)</f>
        <v>0</v>
      </c>
      <c r="L322" s="482">
        <f ca="1">IF(OR('B. Implementation Plan'!M418="Y",'B. Implementation Plan'!M418="Yes"),'B. Implementation Plan'!N418*SUM(L292,L295,L298,L301,L304,L307,L310),(L208+L236+SUM(L243:L244)*(L196/L197))*'B. Implementation Plan'!E418)</f>
        <v>0</v>
      </c>
      <c r="M322" s="482">
        <f ca="1">IF(OR('B. Implementation Plan'!M418="Y",'B. Implementation Plan'!M418="Yes"),'B. Implementation Plan'!N418*SUM(M292,M295,M298,M301,M304,M307,M310),(M208+M236+SUM(M243:M244)*(M196/M197))*'B. Implementation Plan'!E418)</f>
        <v>0</v>
      </c>
      <c r="N322" s="482">
        <f ca="1">IF(OR('B. Implementation Plan'!M418="Y",'B. Implementation Plan'!M418="Yes"),'B. Implementation Plan'!N418*SUM(N292,N295,N298,N301,N304,N307,N310),(N208+N236+SUM(N243:N244)*(N196/N197))*'B. Implementation Plan'!E418)</f>
        <v>0</v>
      </c>
      <c r="O322" s="482">
        <f ca="1">IF(OR('B. Implementation Plan'!M418="Y",'B. Implementation Plan'!M418="Yes"),'B. Implementation Plan'!N418*SUM(O292,O295,O298,O301,O304,O307,O310),(O208+O236+SUM(O243:O244)*(O196/O197))*'B. Implementation Plan'!E418)</f>
        <v>0</v>
      </c>
      <c r="P322" s="488">
        <f t="shared" ca="1" si="154"/>
        <v>0</v>
      </c>
    </row>
    <row r="323" spans="3:16" collapsed="1" x14ac:dyDescent="0.3">
      <c r="C323" s="409" t="s">
        <v>768</v>
      </c>
      <c r="E323" s="486">
        <f ca="1">E314+E317+E320</f>
        <v>225432.42769741634</v>
      </c>
      <c r="F323" s="486">
        <f t="shared" ref="F323:O323" ca="1" si="164">F314+F317+F320</f>
        <v>228662.05926889979</v>
      </c>
      <c r="G323" s="486">
        <f t="shared" ca="1" si="164"/>
        <v>232016.26918684953</v>
      </c>
      <c r="H323" s="486">
        <f t="shared" ca="1" si="164"/>
        <v>235653.81420916296</v>
      </c>
      <c r="I323" s="486">
        <f t="shared" ca="1" si="164"/>
        <v>239140.29925467999</v>
      </c>
      <c r="J323" s="486">
        <f t="shared" ca="1" si="164"/>
        <v>242618.28675973238</v>
      </c>
      <c r="K323" s="486">
        <f t="shared" ca="1" si="164"/>
        <v>246061.06133239111</v>
      </c>
      <c r="L323" s="486">
        <f t="shared" ca="1" si="164"/>
        <v>249630.82850341545</v>
      </c>
      <c r="M323" s="486">
        <f t="shared" ca="1" si="164"/>
        <v>253298.19521927726</v>
      </c>
      <c r="N323" s="486">
        <f t="shared" ca="1" si="164"/>
        <v>257202.68280323755</v>
      </c>
      <c r="O323" s="486">
        <f t="shared" ca="1" si="164"/>
        <v>260917.93512969013</v>
      </c>
      <c r="P323" s="489">
        <f t="shared" ca="1" si="154"/>
        <v>260917.93512969013</v>
      </c>
    </row>
    <row r="324" spans="3:16" x14ac:dyDescent="0.3">
      <c r="C324" s="409" t="s">
        <v>769</v>
      </c>
      <c r="E324" s="486">
        <f t="shared" ref="E324:O324" ca="1" si="165">E315+E318+E321</f>
        <v>15967.241016777169</v>
      </c>
      <c r="F324" s="486">
        <f t="shared" ca="1" si="165"/>
        <v>15783.071431018332</v>
      </c>
      <c r="G324" s="486">
        <f t="shared" ca="1" si="165"/>
        <v>15598.242382993298</v>
      </c>
      <c r="H324" s="486">
        <f t="shared" ca="1" si="165"/>
        <v>15458.89021212109</v>
      </c>
      <c r="I324" s="486">
        <f t="shared" ca="1" si="165"/>
        <v>15296.025381344587</v>
      </c>
      <c r="J324" s="486">
        <f t="shared" ca="1" si="165"/>
        <v>15143.933600978282</v>
      </c>
      <c r="K324" s="486">
        <f t="shared" ca="1" si="165"/>
        <v>15012.654039625055</v>
      </c>
      <c r="L324" s="486">
        <f t="shared" ca="1" si="165"/>
        <v>14879.433111125956</v>
      </c>
      <c r="M324" s="486">
        <f t="shared" ca="1" si="165"/>
        <v>14754.828624041173</v>
      </c>
      <c r="N324" s="486">
        <f t="shared" ca="1" si="165"/>
        <v>14666.634207138719</v>
      </c>
      <c r="O324" s="486">
        <f t="shared" ca="1" si="165"/>
        <v>14557.539985932144</v>
      </c>
      <c r="P324" s="489">
        <f t="shared" ca="1" si="154"/>
        <v>14557.539985932144</v>
      </c>
    </row>
    <row r="325" spans="3:16" x14ac:dyDescent="0.3">
      <c r="C325" s="409" t="s">
        <v>770</v>
      </c>
      <c r="E325" s="486">
        <f t="shared" ref="E325:O325" ca="1" si="166">E316+E319+E322</f>
        <v>0</v>
      </c>
      <c r="F325" s="486">
        <f t="shared" ca="1" si="166"/>
        <v>0</v>
      </c>
      <c r="G325" s="486">
        <f t="shared" ca="1" si="166"/>
        <v>0</v>
      </c>
      <c r="H325" s="486">
        <f t="shared" ca="1" si="166"/>
        <v>0</v>
      </c>
      <c r="I325" s="486">
        <f t="shared" ca="1" si="166"/>
        <v>0</v>
      </c>
      <c r="J325" s="486">
        <f t="shared" ca="1" si="166"/>
        <v>0</v>
      </c>
      <c r="K325" s="486">
        <f t="shared" ca="1" si="166"/>
        <v>0</v>
      </c>
      <c r="L325" s="486">
        <f t="shared" ca="1" si="166"/>
        <v>0</v>
      </c>
      <c r="M325" s="486">
        <f t="shared" ca="1" si="166"/>
        <v>0</v>
      </c>
      <c r="N325" s="486">
        <f t="shared" ca="1" si="166"/>
        <v>0</v>
      </c>
      <c r="O325" s="486">
        <f t="shared" ca="1" si="166"/>
        <v>0</v>
      </c>
      <c r="P325" s="489">
        <f t="shared" ca="1" si="154"/>
        <v>0</v>
      </c>
    </row>
    <row r="326" spans="3:16" s="365" customFormat="1" x14ac:dyDescent="0.3">
      <c r="C326" s="365" t="s">
        <v>790</v>
      </c>
      <c r="E326" s="482">
        <f t="shared" ref="E326:O326" ca="1" si="167">IFERROR(E271*(E206+E234)/(E209+E237),0)</f>
        <v>559.83870967741927</v>
      </c>
      <c r="F326" s="482">
        <f t="shared" ca="1" si="167"/>
        <v>569.34339622641517</v>
      </c>
      <c r="G326" s="482">
        <f t="shared" ca="1" si="167"/>
        <v>578.98162453987732</v>
      </c>
      <c r="H326" s="482">
        <f t="shared" ca="1" si="167"/>
        <v>590.52482882882873</v>
      </c>
      <c r="I326" s="482">
        <f t="shared" ca="1" si="167"/>
        <v>600.89658664449496</v>
      </c>
      <c r="J326" s="482">
        <f t="shared" ca="1" si="167"/>
        <v>610.94075591717217</v>
      </c>
      <c r="K326" s="482">
        <f t="shared" ca="1" si="167"/>
        <v>621.13293704370824</v>
      </c>
      <c r="L326" s="482">
        <f t="shared" ca="1" si="167"/>
        <v>631.47628946280099</v>
      </c>
      <c r="M326" s="482">
        <f t="shared" ca="1" si="167"/>
        <v>642.43055467400393</v>
      </c>
      <c r="N326" s="482">
        <f t="shared" ca="1" si="167"/>
        <v>654.80188357841905</v>
      </c>
      <c r="O326" s="482">
        <f t="shared" ca="1" si="167"/>
        <v>665.60780933277101</v>
      </c>
      <c r="P326" s="488">
        <f t="shared" ca="1" si="154"/>
        <v>665.60780933277101</v>
      </c>
    </row>
    <row r="327" spans="3:16" s="365" customFormat="1" x14ac:dyDescent="0.3">
      <c r="C327" s="365" t="s">
        <v>791</v>
      </c>
      <c r="E327" s="482">
        <f t="shared" ref="E327:O327" ca="1" si="168">IFERROR(E271*(E207+E235)/(E209+E237),0)</f>
        <v>39.677419354838705</v>
      </c>
      <c r="F327" s="482">
        <f t="shared" ca="1" si="168"/>
        <v>39.298113207547168</v>
      </c>
      <c r="G327" s="482">
        <f t="shared" ca="1" si="168"/>
        <v>38.947082208588952</v>
      </c>
      <c r="H327" s="482">
        <f t="shared" ca="1" si="168"/>
        <v>38.738428771171165</v>
      </c>
      <c r="I327" s="482">
        <f t="shared" ca="1" si="168"/>
        <v>38.434883077104978</v>
      </c>
      <c r="J327" s="482">
        <f t="shared" ca="1" si="168"/>
        <v>38.154715906479908</v>
      </c>
      <c r="K327" s="482">
        <f t="shared" ca="1" si="168"/>
        <v>37.896503599392915</v>
      </c>
      <c r="L327" s="482">
        <f t="shared" ca="1" si="168"/>
        <v>37.658949626145215</v>
      </c>
      <c r="M327" s="482">
        <f t="shared" ca="1" si="168"/>
        <v>37.440870990240455</v>
      </c>
      <c r="N327" s="482">
        <f t="shared" ca="1" si="168"/>
        <v>37.339189466919585</v>
      </c>
      <c r="O327" s="482">
        <f t="shared" ca="1" si="168"/>
        <v>37.154418220072984</v>
      </c>
      <c r="P327" s="488">
        <f t="shared" ca="1" si="154"/>
        <v>37.154418220072984</v>
      </c>
    </row>
    <row r="328" spans="3:16" s="365" customFormat="1" x14ac:dyDescent="0.3">
      <c r="C328" s="365" t="s">
        <v>792</v>
      </c>
      <c r="E328" s="482">
        <f t="shared" ref="E328:O328" ca="1" si="169">IFERROR(E271*(E208+E236)/(E209+E237),0)</f>
        <v>0</v>
      </c>
      <c r="F328" s="482">
        <f t="shared" ca="1" si="169"/>
        <v>0</v>
      </c>
      <c r="G328" s="482">
        <f t="shared" ca="1" si="169"/>
        <v>0</v>
      </c>
      <c r="H328" s="482">
        <f t="shared" ca="1" si="169"/>
        <v>0</v>
      </c>
      <c r="I328" s="482">
        <f t="shared" ca="1" si="169"/>
        <v>0</v>
      </c>
      <c r="J328" s="482">
        <f t="shared" ca="1" si="169"/>
        <v>0</v>
      </c>
      <c r="K328" s="482">
        <f t="shared" ca="1" si="169"/>
        <v>0</v>
      </c>
      <c r="L328" s="482">
        <f t="shared" ca="1" si="169"/>
        <v>0</v>
      </c>
      <c r="M328" s="482">
        <f t="shared" ca="1" si="169"/>
        <v>0</v>
      </c>
      <c r="N328" s="482">
        <f t="shared" ca="1" si="169"/>
        <v>0</v>
      </c>
      <c r="O328" s="482">
        <f t="shared" ca="1" si="169"/>
        <v>0</v>
      </c>
      <c r="P328" s="488">
        <f t="shared" ca="1" si="154"/>
        <v>0</v>
      </c>
    </row>
    <row r="329" spans="3:16" s="1" customFormat="1" x14ac:dyDescent="0.3">
      <c r="C329" s="409" t="s">
        <v>771</v>
      </c>
      <c r="E329" s="486">
        <f ca="1">IFERROR(IF(OR('B. Implementation Plan'!K442="Y",'B. Implementation Plan'!K442="Yes"),(E198/E201*E193)*('B. Implementation Plan'!L442+'B. Implementation Plan'!E464+'B. Implementation Plan'!E466)*(1+E19)^E289,(E198/E201*E193)*('B. Implementation Plan'!E442+'B. Implementation Plan'!E464+'B. Implementation Plan'!E466)*(1+E19)^E289),0)</f>
        <v>116083.54559346223</v>
      </c>
      <c r="F329" s="486">
        <f ca="1">IFERROR(IF(OR('B. Implementation Plan'!K442="Y",'B. Implementation Plan'!K442="Yes"),(F198/F201*F193)*('B. Implementation Plan'!L442+'B. Implementation Plan'!E464+'B. Implementation Plan'!E466)*(1+E19)^F289,(F198/F201*F193)*('B. Implementation Plan'!E442+'B. Implementation Plan'!E464+'B. Implementation Plan'!E466)*(1+E19)^F289),0)</f>
        <v>118081.1949798118</v>
      </c>
      <c r="G329" s="486">
        <f ca="1">IFERROR(IF(OR('B. Implementation Plan'!K442="Y",'B. Implementation Plan'!K442="Yes"),(G198/G201*G193)*('B. Implementation Plan'!L442+'B. Implementation Plan'!E464+'B. Implementation Plan'!E466)*(1+E19)^G289,(G198/G201*G193)*('B. Implementation Plan'!E442+'B. Implementation Plan'!E464+'B. Implementation Plan'!E466)*(1+E19)^G289),0)</f>
        <v>120106.10022942643</v>
      </c>
      <c r="H329" s="486">
        <f ca="1">IFERROR(IF(OR('B. Implementation Plan'!K442="Y",'B. Implementation Plan'!K442="Yes"),(H198/H201*H193)*('B. Implementation Plan'!L442+'B. Implementation Plan'!E464+'B. Implementation Plan'!E466)*(1+E19)^H289,(H198/H201*H193)*('B. Implementation Plan'!E442+'B. Implementation Plan'!E464+'B. Implementation Plan'!E466)*(1+E19)^H289),0)</f>
        <v>122525.8590734561</v>
      </c>
      <c r="I329" s="486">
        <f ca="1">IFERROR(IF(OR('B. Implementation Plan'!K442="Y",'B. Implementation Plan'!K442="Yes"),(I198/I201*I193)*('B. Implementation Plan'!L442+'B. Implementation Plan'!E464+'B. Implementation Plan'!E466)*(1+E19)^I289,(I198/I201*I193)*('B. Implementation Plan'!E442+'B. Implementation Plan'!E464+'B. Implementation Plan'!E466)*(1+E19)^I289),0)</f>
        <v>124608.03417865245</v>
      </c>
      <c r="J329" s="486">
        <f ca="1">IFERROR(IF(OR('B. Implementation Plan'!K442="Y",'B. Implementation Plan'!K442="Yes"),(J198/J201*J193)*('B. Implementation Plan'!L442+'B. Implementation Plan'!E464+'B. Implementation Plan'!E466)*(1+E19)^J289,(J198/J201*J193)*('B. Implementation Plan'!E442+'B. Implementation Plan'!E464+'B. Implementation Plan'!E466)*(1+E19)^J289),0)</f>
        <v>126716.77585735786</v>
      </c>
      <c r="K329" s="486">
        <f ca="1">IFERROR(IF(OR('B. Implementation Plan'!K442="Y",'B. Implementation Plan'!K442="Yes"),(K198/K201*K193)*('B. Implementation Plan'!L442+'B. Implementation Plan'!E464+'B. Implementation Plan'!E466)*(1+E19)^K289,(K198/K201*K193)*('B. Implementation Plan'!E442+'B. Implementation Plan'!E464+'B. Implementation Plan'!E466)*(1+E19)^K289),0)</f>
        <v>128855.89642069514</v>
      </c>
      <c r="L329" s="486">
        <f ca="1">IFERROR(IF(OR('B. Implementation Plan'!K442="Y",'B. Implementation Plan'!K442="Yes"),(L198/L201*L193)*('B. Implementation Plan'!L442+'B. Implementation Plan'!E464+'B. Implementation Plan'!E466)*(1+E19)^L289,(L198/L201*L193)*('B. Implementation Plan'!E442+'B. Implementation Plan'!E464+'B. Implementation Plan'!E466)*(1+E19)^L289),0)</f>
        <v>131026.09005901054</v>
      </c>
      <c r="M329" s="486">
        <f ca="1">IFERROR(IF(OR('B. Implementation Plan'!K442="Y",'B. Implementation Plan'!K442="Yes"),(M198/M201*M193)*('B. Implementation Plan'!L442+'B. Implementation Plan'!E464+'B. Implementation Plan'!E466)*(1+E19)^M289,(M198/M201*M193)*('B. Implementation Plan'!E442+'B. Implementation Plan'!E464+'B. Implementation Plan'!E466)*(1+E19)^M289),0)</f>
        <v>133230.72826046607</v>
      </c>
      <c r="N329" s="486">
        <f ca="1">IFERROR(IF(OR('B. Implementation Plan'!K442="Y",'B. Implementation Plan'!K442="Yes"),(N198/N201*N193)*('B. Implementation Plan'!L442+'B. Implementation Plan'!E464+'B. Implementation Plan'!E466)*(1+E19)^N289,(N198/N201*N193)*('B. Implementation Plan'!E442+'B. Implementation Plan'!E464+'B. Implementation Plan'!E466)*(1+E19)^N289),0)</f>
        <v>135821.54650261244</v>
      </c>
      <c r="O329" s="486">
        <f ca="1">IFERROR(IF(OR('B. Implementation Plan'!K442="Y",'B. Implementation Plan'!K442="Yes"),(O198/O201*O193)*('B. Implementation Plan'!L442+'B. Implementation Plan'!E464+'B. Implementation Plan'!E466)*(1+E19)^O289,(O198/O201*O193)*('B. Implementation Plan'!E442+'B. Implementation Plan'!E464+'B. Implementation Plan'!E466)*(1+E19)^O289),0)</f>
        <v>138087.50304403141</v>
      </c>
      <c r="P329" s="489">
        <f t="shared" ca="1" si="154"/>
        <v>138087.50304403141</v>
      </c>
    </row>
    <row r="330" spans="3:16" s="1" customFormat="1" x14ac:dyDescent="0.3">
      <c r="C330" s="409" t="s">
        <v>772</v>
      </c>
      <c r="E330" s="486">
        <f ca="1">IFERROR(IF(OR('B. Implementation Plan'!K442="Y",'B. Implementation Plan'!K442="Yes"),(E199/E201*E193)*('B. Implementation Plan'!M442+'B. Implementation Plan'!E464+'B. Implementation Plan'!E466)*(1+E19)^E289,(E199/E201*E193)*('B. Implementation Plan'!F442+'B. Implementation Plan'!E464+'B. Implementation Plan'!E466)*(1+E19)^E289),0)</f>
        <v>5487.2551699068345</v>
      </c>
      <c r="F330" s="486">
        <f ca="1">IFERROR(IF(OR('B. Implementation Plan'!K442="Y",'B. Implementation Plan'!K442="Yes"),(F199/F201*F193)*('B. Implementation Plan'!M442+'B. Implementation Plan'!E464+'B. Implementation Plan'!E466)*(1+E19)^F289,(F199/F201*F193)*('B. Implementation Plan'!F442+'B. Implementation Plan'!E464+'B. Implementation Plan'!E466)*(1+E19)^F289),0)</f>
        <v>5436.0338164177037</v>
      </c>
      <c r="G330" s="486">
        <f ca="1">IFERROR(IF(OR('B. Implementation Plan'!K442="Y",'B. Implementation Plan'!K442="Yes"),(G199/G201*G193)*('B. Implementation Plan'!M442+'B. Implementation Plan'!E464+'B. Implementation Plan'!E466)*(1+E19)^G289,(G199/G201*G193)*('B. Implementation Plan'!F442+'B. Implementation Plan'!E464+'B. Implementation Plan'!E466)*(1+E19)^G289),0)</f>
        <v>5388.6405032505609</v>
      </c>
      <c r="H330" s="486">
        <f ca="1">IFERROR(IF(OR('B. Implementation Plan'!K442="Y",'B. Implementation Plan'!K442="Yes"),(H199/H201*H193)*('B. Implementation Plan'!M442+'B. Implementation Plan'!E464+'B. Implementation Plan'!E466)*(1+E19)^H289,(H199/H201*H193)*('B. Implementation Plan'!F442+'B. Implementation Plan'!E464+'B. Implementation Plan'!E466)*(1+E19)^H289),0)</f>
        <v>5360.8739277836794</v>
      </c>
      <c r="I330" s="486">
        <f ca="1">IFERROR(IF(OR('B. Implementation Plan'!K442="Y",'B. Implementation Plan'!K442="Yes"),(I199/I201*I193)*('B. Implementation Plan'!M442+'B. Implementation Plan'!E464+'B. Implementation Plan'!E466)*(1+E19)^I289,(I199/I201*I193)*('B. Implementation Plan'!F442+'B. Implementation Plan'!E464+'B. Implementation Plan'!E466)*(1+E19)^I289),0)</f>
        <v>5315.8885875866463</v>
      </c>
      <c r="J330" s="486">
        <f ca="1">IFERROR(IF(OR('B. Implementation Plan'!K442="Y",'B. Implementation Plan'!K442="Yes"),(J199/J201*J193)*('B. Implementation Plan'!M442+'B. Implementation Plan'!E464+'B. Implementation Plan'!E466)*(1+E19)^J289,(J199/J201*J193)*('B. Implementation Plan'!F442+'B. Implementation Plan'!E464+'B. Implementation Plan'!E466)*(1+E19)^J289),0)</f>
        <v>5278.2169748364477</v>
      </c>
      <c r="K330" s="486">
        <f ca="1">IFERROR(IF(OR('B. Implementation Plan'!K442="Y",'B. Implementation Plan'!K442="Yes"),(K199/K201*K193)*('B. Implementation Plan'!M442+'B. Implementation Plan'!E464+'B. Implementation Plan'!E466)*(1+E19)^K289,(K199/K201*K193)*('B. Implementation Plan'!F442+'B. Implementation Plan'!E464+'B. Implementation Plan'!E466)*(1+E19)^K289),0)</f>
        <v>5243.5193942064216</v>
      </c>
      <c r="L330" s="486">
        <f ca="1">IFERROR(IF(OR('B. Implementation Plan'!K442="Y",'B. Implementation Plan'!K442="Yes"),(L199/L201*L193)*('B. Implementation Plan'!M442+'B. Implementation Plan'!E464+'B. Implementation Plan'!E466)*(1+E19)^L289,(L199/L201*L193)*('B. Implementation Plan'!F442+'B. Implementation Plan'!E464+'B. Implementation Plan'!E466)*(1+E19)^L289),0)</f>
        <v>5211.6223047152698</v>
      </c>
      <c r="M330" s="486">
        <f ca="1">IFERROR(IF(OR('B. Implementation Plan'!K442="Y",'B. Implementation Plan'!K442="Yes"),(M199/M201*M193)*('B. Implementation Plan'!M442+'B. Implementation Plan'!E464+'B. Implementation Plan'!E466)*(1+E19)^M289,(M199/M201*M193)*('B. Implementation Plan'!F442+'B. Implementation Plan'!E464+'B. Implementation Plan'!E466)*(1+E19)^M289),0)</f>
        <v>5178.7882646573771</v>
      </c>
      <c r="N330" s="486">
        <f ca="1">IFERROR(IF(OR('B. Implementation Plan'!K442="Y",'B. Implementation Plan'!K442="Yes"),(N199/N201*N193)*('B. Implementation Plan'!M442+'B. Implementation Plan'!E464+'B. Implementation Plan'!E466)*(1+E19)^N289,(N199/N201*N193)*('B. Implementation Plan'!F442+'B. Implementation Plan'!E464+'B. Implementation Plan'!E466)*(1+E19)^N289),0)</f>
        <v>5165.6816251563423</v>
      </c>
      <c r="O330" s="486">
        <f ca="1">IFERROR(IF(OR('B. Implementation Plan'!K442="Y",'B. Implementation Plan'!K442="Yes"),(O199/O201*O193)*('B. Implementation Plan'!M442+'B. Implementation Plan'!E464+'B. Implementation Plan'!E466)*(1+E19)^O289,(O199/O201*O193)*('B. Implementation Plan'!F442+'B. Implementation Plan'!E464+'B. Implementation Plan'!E466)*(1+E19)^O289),0)</f>
        <v>5141.0334738152687</v>
      </c>
      <c r="P330" s="489">
        <f t="shared" ca="1" si="154"/>
        <v>5141.0334738152687</v>
      </c>
    </row>
    <row r="331" spans="3:16" s="1" customFormat="1" x14ac:dyDescent="0.3">
      <c r="C331" s="409" t="s">
        <v>773</v>
      </c>
      <c r="E331" s="486">
        <f ca="1">IFERROR(IF(OR('B. Implementation Plan'!K442="Y",'B. Implementation Plan'!K442="Yes"),(E200/E201*E193)*('B. Implementation Plan'!N442+'B. Implementation Plan'!E464+'B. Implementation Plan'!E466)*(1+E19)^E289,(E200/E201*E193)*('B. Implementation Plan'!G442+'B. Implementation Plan'!E464+'B. Implementation Plan'!E466)*(1+E19)^E289),0)</f>
        <v>0</v>
      </c>
      <c r="F331" s="486">
        <f ca="1">IFERROR(IF(OR('B. Implementation Plan'!K442="Y",'B. Implementation Plan'!K442="Yes"),(F200/F201*F193)*('B. Implementation Plan'!N442+'B. Implementation Plan'!E464+'B. Implementation Plan'!E466)*(1+E19)^F289,(F200/F201*F193)*('B. Implementation Plan'!G442+'B. Implementation Plan'!E464+'B. Implementation Plan'!E466)*(1+E19)^F289),0)</f>
        <v>0</v>
      </c>
      <c r="G331" s="486">
        <f ca="1">IFERROR(IF(OR('B. Implementation Plan'!K442="Y",'B. Implementation Plan'!K442="Yes"),(G200/G201*G193)*('B. Implementation Plan'!N442+'B. Implementation Plan'!E464+'B. Implementation Plan'!E466)*(1+E19)^G289,(G200/G201*G193)*('B. Implementation Plan'!G442+'B. Implementation Plan'!E464+'B. Implementation Plan'!E466)*(1+E19)^G289),0)</f>
        <v>0</v>
      </c>
      <c r="H331" s="486">
        <f ca="1">IFERROR(IF(OR('B. Implementation Plan'!K442="Y",'B. Implementation Plan'!K442="Yes"),(H200/H201*H193)*('B. Implementation Plan'!N442+'B. Implementation Plan'!E464+'B. Implementation Plan'!E466)*(1+E19)^H289,(H200/H201*H193)*('B. Implementation Plan'!G442+'B. Implementation Plan'!E464+'B. Implementation Plan'!E466)*(1+E19)^H289),0)</f>
        <v>0</v>
      </c>
      <c r="I331" s="486">
        <f ca="1">IFERROR(IF(OR('B. Implementation Plan'!K442="Y",'B. Implementation Plan'!K442="Yes"),(I200/I201*I193)*('B. Implementation Plan'!N442+'B. Implementation Plan'!E464+'B. Implementation Plan'!E466)*(1+E19)^I289,(I200/I201*I193)*('B. Implementation Plan'!G442+'B. Implementation Plan'!E464+'B. Implementation Plan'!E466)*(1+E19)^I289),0)</f>
        <v>0</v>
      </c>
      <c r="J331" s="486">
        <f ca="1">IFERROR(IF(OR('B. Implementation Plan'!K442="Y",'B. Implementation Plan'!K442="Yes"),(J200/J201*J193)*('B. Implementation Plan'!N442+'B. Implementation Plan'!E464+'B. Implementation Plan'!E466)*(1+E19)^J289,(J200/J201*J193)*('B. Implementation Plan'!G442+'B. Implementation Plan'!E464+'B. Implementation Plan'!E466)*(1+E19)^J289),0)</f>
        <v>0</v>
      </c>
      <c r="K331" s="486">
        <f ca="1">IFERROR(IF(OR('B. Implementation Plan'!K442="Y",'B. Implementation Plan'!K442="Yes"),(K200/K201*K193)*('B. Implementation Plan'!N442+'B. Implementation Plan'!E464+'B. Implementation Plan'!E466)*(1+E19)^K289,(K200/K201*K193)*('B. Implementation Plan'!G442+'B. Implementation Plan'!E464+'B. Implementation Plan'!E466)*(1+E19)^K289),0)</f>
        <v>0</v>
      </c>
      <c r="L331" s="486">
        <f ca="1">IFERROR(IF(OR('B. Implementation Plan'!K442="Y",'B. Implementation Plan'!K442="Yes"),(L200/L201*L193)*('B. Implementation Plan'!N442+'B. Implementation Plan'!E464+'B. Implementation Plan'!E466)*(1+E19)^L289,(L200/L201*L193)*('B. Implementation Plan'!G442+'B. Implementation Plan'!E464+'B. Implementation Plan'!E466)*(1+E19)^L289),0)</f>
        <v>0</v>
      </c>
      <c r="M331" s="486">
        <f ca="1">IFERROR(IF(OR('B. Implementation Plan'!K442="Y",'B. Implementation Plan'!K442="Yes"),(M200/M201*M193)*('B. Implementation Plan'!N442+'B. Implementation Plan'!E464+'B. Implementation Plan'!E466)*(1+E19)^M289,(M200/M201*M193)*('B. Implementation Plan'!G442+'B. Implementation Plan'!E464+'B. Implementation Plan'!E466)*(1+E19)^M289),0)</f>
        <v>0</v>
      </c>
      <c r="N331" s="486">
        <f ca="1">IFERROR(IF(OR('B. Implementation Plan'!K442="Y",'B. Implementation Plan'!K442="Yes"),(N200/N201*N193)*('B. Implementation Plan'!N442+'B. Implementation Plan'!E464+'B. Implementation Plan'!E466)*(1+E19)^N289,(N200/N201*N193)*('B. Implementation Plan'!G442+'B. Implementation Plan'!E464+'B. Implementation Plan'!E466)*(1+E19)^N289),0)</f>
        <v>0</v>
      </c>
      <c r="O331" s="486">
        <f ca="1">IFERROR(IF(OR('B. Implementation Plan'!K442="Y",'B. Implementation Plan'!K442="Yes"),(O200/O201*O193)*('B. Implementation Plan'!N442+'B. Implementation Plan'!E464+'B. Implementation Plan'!E466)*(1+E19)^O289,(O200/O201*O193)*('B. Implementation Plan'!G442+'B. Implementation Plan'!E464+'B. Implementation Plan'!E466)*(1+E19)^O289),0)</f>
        <v>0</v>
      </c>
      <c r="P331" s="489">
        <f t="shared" ca="1" si="154"/>
        <v>0</v>
      </c>
    </row>
    <row r="332" spans="3:16" s="365" customFormat="1" x14ac:dyDescent="0.3">
      <c r="C332" s="470" t="s">
        <v>774</v>
      </c>
      <c r="E332" s="482">
        <f t="shared" ref="E332:O332" ca="1" si="170">IFERROR(E278*E194/E197,0)</f>
        <v>13495.556129032258</v>
      </c>
      <c r="F332" s="482">
        <f t="shared" ca="1" si="170"/>
        <v>13712.825479245283</v>
      </c>
      <c r="G332" s="482">
        <f t="shared" ca="1" si="170"/>
        <v>13956.405097226994</v>
      </c>
      <c r="H332" s="482">
        <f t="shared" ca="1" si="170"/>
        <v>14222.987343951951</v>
      </c>
      <c r="I332" s="482">
        <f t="shared" ca="1" si="170"/>
        <v>14472.794588194878</v>
      </c>
      <c r="J332" s="482">
        <f t="shared" ca="1" si="170"/>
        <v>14725.918692828192</v>
      </c>
      <c r="K332" s="482">
        <f t="shared" ca="1" si="170"/>
        <v>14960.193833010058</v>
      </c>
      <c r="L332" s="482">
        <f t="shared" ca="1" si="170"/>
        <v>15220.378245207177</v>
      </c>
      <c r="M332" s="482">
        <f t="shared" ca="1" si="170"/>
        <v>15484.151319403687</v>
      </c>
      <c r="N332" s="482">
        <f t="shared" ca="1" si="170"/>
        <v>15771.121633280753</v>
      </c>
      <c r="O332" s="482">
        <f t="shared" ca="1" si="170"/>
        <v>16042.299085679277</v>
      </c>
      <c r="P332" s="488">
        <f t="shared" ca="1" si="154"/>
        <v>16042.299085679277</v>
      </c>
    </row>
    <row r="333" spans="3:16" s="365" customFormat="1" ht="14.55" customHeight="1" x14ac:dyDescent="0.3">
      <c r="C333" s="470" t="s">
        <v>775</v>
      </c>
      <c r="E333" s="482">
        <f t="shared" ref="E333:O333" ca="1" si="171">IFERROR(E278*E195/E197,0)</f>
        <v>955.64387096774203</v>
      </c>
      <c r="F333" s="482">
        <f t="shared" ca="1" si="171"/>
        <v>946.50815597484279</v>
      </c>
      <c r="G333" s="482">
        <f t="shared" ca="1" si="171"/>
        <v>938.05345735460128</v>
      </c>
      <c r="H333" s="482">
        <f t="shared" ca="1" si="171"/>
        <v>933.02796976324805</v>
      </c>
      <c r="I333" s="482">
        <f t="shared" ca="1" si="171"/>
        <v>925.71697053976595</v>
      </c>
      <c r="J333" s="482">
        <f t="shared" ca="1" si="171"/>
        <v>918.9690508462038</v>
      </c>
      <c r="K333" s="482">
        <f t="shared" ca="1" si="171"/>
        <v>912.74992135924458</v>
      </c>
      <c r="L333" s="482">
        <f t="shared" ca="1" si="171"/>
        <v>907.02835472891616</v>
      </c>
      <c r="M333" s="482">
        <f t="shared" ca="1" si="171"/>
        <v>901.77585809027164</v>
      </c>
      <c r="N333" s="482">
        <f t="shared" ca="1" si="171"/>
        <v>899.3268247072474</v>
      </c>
      <c r="O333" s="482">
        <f t="shared" ca="1" si="171"/>
        <v>894.87654763653109</v>
      </c>
      <c r="P333" s="488">
        <f t="shared" ca="1" si="154"/>
        <v>894.87654763653109</v>
      </c>
    </row>
    <row r="334" spans="3:16" s="365" customFormat="1" ht="14.55" customHeight="1" x14ac:dyDescent="0.3">
      <c r="C334" s="470" t="s">
        <v>776</v>
      </c>
      <c r="E334" s="482">
        <f t="shared" ref="E334:O334" ca="1" si="172">IFERROR(E278*E196/E197,0)</f>
        <v>0</v>
      </c>
      <c r="F334" s="482">
        <f t="shared" ca="1" si="172"/>
        <v>0</v>
      </c>
      <c r="G334" s="482">
        <f t="shared" ca="1" si="172"/>
        <v>0</v>
      </c>
      <c r="H334" s="482">
        <f t="shared" ca="1" si="172"/>
        <v>0</v>
      </c>
      <c r="I334" s="482">
        <f t="shared" ca="1" si="172"/>
        <v>0</v>
      </c>
      <c r="J334" s="482">
        <f t="shared" ca="1" si="172"/>
        <v>0</v>
      </c>
      <c r="K334" s="482">
        <f t="shared" ca="1" si="172"/>
        <v>0</v>
      </c>
      <c r="L334" s="482">
        <f t="shared" ca="1" si="172"/>
        <v>0</v>
      </c>
      <c r="M334" s="482">
        <f t="shared" ca="1" si="172"/>
        <v>0</v>
      </c>
      <c r="N334" s="482">
        <f t="shared" ca="1" si="172"/>
        <v>0</v>
      </c>
      <c r="O334" s="482">
        <f t="shared" ca="1" si="172"/>
        <v>0</v>
      </c>
      <c r="P334" s="488">
        <f t="shared" ca="1" si="154"/>
        <v>0</v>
      </c>
    </row>
    <row r="335" spans="3:16" s="1" customFormat="1" x14ac:dyDescent="0.3">
      <c r="C335" s="409" t="s">
        <v>777</v>
      </c>
      <c r="E335" s="486">
        <f t="shared" ref="E335:O335" ca="1" si="173">IFERROR(E279*E194/E197,0)</f>
        <v>622.58064516129025</v>
      </c>
      <c r="F335" s="486">
        <f t="shared" ca="1" si="173"/>
        <v>633.60000000000014</v>
      </c>
      <c r="G335" s="486">
        <f t="shared" ca="1" si="173"/>
        <v>644.8296569380442</v>
      </c>
      <c r="H335" s="486">
        <f t="shared" ca="1" si="173"/>
        <v>656.1386986986987</v>
      </c>
      <c r="I335" s="486">
        <f t="shared" ca="1" si="173"/>
        <v>667.66287404943887</v>
      </c>
      <c r="J335" s="486">
        <f t="shared" ca="1" si="173"/>
        <v>679.34006370073973</v>
      </c>
      <c r="K335" s="486">
        <f t="shared" ca="1" si="173"/>
        <v>691.11565692567797</v>
      </c>
      <c r="L335" s="486">
        <f t="shared" ca="1" si="173"/>
        <v>703.11377505047096</v>
      </c>
      <c r="M335" s="486">
        <f t="shared" ca="1" si="173"/>
        <v>715.27787381598887</v>
      </c>
      <c r="N335" s="486">
        <f t="shared" ca="1" si="173"/>
        <v>727.55764842046574</v>
      </c>
      <c r="O335" s="486">
        <f t="shared" ca="1" si="173"/>
        <v>740.06767999332362</v>
      </c>
      <c r="P335" s="489">
        <f t="shared" ca="1" si="154"/>
        <v>740.06767999332362</v>
      </c>
    </row>
    <row r="336" spans="3:16" s="1" customFormat="1" x14ac:dyDescent="0.3">
      <c r="C336" s="409" t="s">
        <v>778</v>
      </c>
      <c r="E336" s="486">
        <f t="shared" ref="E336:O336" ca="1" si="174">IFERROR(E279*E195/E197,0)</f>
        <v>44.086021505376344</v>
      </c>
      <c r="F336" s="486">
        <f t="shared" ca="1" si="174"/>
        <v>43.733333333333341</v>
      </c>
      <c r="G336" s="486">
        <f t="shared" ca="1" si="174"/>
        <v>43.341009728622637</v>
      </c>
      <c r="H336" s="486">
        <f t="shared" ca="1" si="174"/>
        <v>43.04269863463464</v>
      </c>
      <c r="I336" s="486">
        <f t="shared" ca="1" si="174"/>
        <v>42.705425641227762</v>
      </c>
      <c r="J336" s="486">
        <f t="shared" ca="1" si="174"/>
        <v>42.394128784977667</v>
      </c>
      <c r="K336" s="486">
        <f t="shared" ca="1" si="174"/>
        <v>42.16628263981071</v>
      </c>
      <c r="L336" s="486">
        <f t="shared" ca="1" si="174"/>
        <v>41.900675548065848</v>
      </c>
      <c r="M336" s="486">
        <f t="shared" ca="1" si="174"/>
        <v>41.656807992124357</v>
      </c>
      <c r="N336" s="486">
        <f t="shared" ca="1" si="174"/>
        <v>41.487988296577328</v>
      </c>
      <c r="O336" s="486">
        <f t="shared" ca="1" si="174"/>
        <v>41.282686911192201</v>
      </c>
      <c r="P336" s="489">
        <f t="shared" ca="1" si="154"/>
        <v>41.282686911192201</v>
      </c>
    </row>
    <row r="337" spans="1:16" s="1" customFormat="1" x14ac:dyDescent="0.3">
      <c r="C337" s="409" t="s">
        <v>779</v>
      </c>
      <c r="E337" s="486">
        <f t="shared" ref="E337:O337" ca="1" si="175">IFERROR(E279*E196/E197,0)</f>
        <v>0</v>
      </c>
      <c r="F337" s="486">
        <f t="shared" ca="1" si="175"/>
        <v>0</v>
      </c>
      <c r="G337" s="486">
        <f t="shared" ca="1" si="175"/>
        <v>0</v>
      </c>
      <c r="H337" s="486">
        <f t="shared" ca="1" si="175"/>
        <v>0</v>
      </c>
      <c r="I337" s="486">
        <f t="shared" ca="1" si="175"/>
        <v>0</v>
      </c>
      <c r="J337" s="486">
        <f t="shared" ca="1" si="175"/>
        <v>0</v>
      </c>
      <c r="K337" s="486">
        <f t="shared" ca="1" si="175"/>
        <v>0</v>
      </c>
      <c r="L337" s="486">
        <f t="shared" ca="1" si="175"/>
        <v>0</v>
      </c>
      <c r="M337" s="486">
        <f t="shared" ca="1" si="175"/>
        <v>0</v>
      </c>
      <c r="N337" s="486">
        <f t="shared" ca="1" si="175"/>
        <v>0</v>
      </c>
      <c r="O337" s="486">
        <f t="shared" ca="1" si="175"/>
        <v>0</v>
      </c>
      <c r="P337" s="489">
        <f t="shared" ca="1" si="154"/>
        <v>0</v>
      </c>
    </row>
    <row r="338" spans="1:16" x14ac:dyDescent="0.3">
      <c r="C338" s="470" t="s">
        <v>780</v>
      </c>
      <c r="E338" s="482">
        <f ca="1">('B. Implementation Plan'!F493+'B. Implementation Plan'!F494)*(E323+E326+E329+E332+E335)</f>
        <v>0</v>
      </c>
      <c r="F338" s="482">
        <f ca="1">('B. Implementation Plan'!F493+'B. Implementation Plan'!F494)*(F323+F326+F329+F332+F335)</f>
        <v>0</v>
      </c>
      <c r="G338" s="482">
        <f ca="1">('B. Implementation Plan'!F493+'B. Implementation Plan'!F494)*(G323+G326+G329+G332+G335)</f>
        <v>0</v>
      </c>
      <c r="H338" s="482">
        <f ca="1">('B. Implementation Plan'!F493+'B. Implementation Plan'!F494)*(H323+H326+H329+H332+H335)</f>
        <v>0</v>
      </c>
      <c r="I338" s="482">
        <f ca="1">('B. Implementation Plan'!F493+'B. Implementation Plan'!F494)*(I323+I326+I329+I332+I335)</f>
        <v>0</v>
      </c>
      <c r="J338" s="482">
        <f ca="1">('B. Implementation Plan'!F493+'B. Implementation Plan'!F494)*(J323+J326+J329+J332+J335)</f>
        <v>0</v>
      </c>
      <c r="K338" s="482">
        <f ca="1">('B. Implementation Plan'!F493+'B. Implementation Plan'!F494)*(K323+K326+K329+K332+K335)</f>
        <v>0</v>
      </c>
      <c r="L338" s="482">
        <f ca="1">('B. Implementation Plan'!F493+'B. Implementation Plan'!F494)*(L323+L326+L329+L332+L335)</f>
        <v>0</v>
      </c>
      <c r="M338" s="482">
        <f ca="1">('B. Implementation Plan'!F493+'B. Implementation Plan'!F494)*(M323+M326+M329+M332+M335)</f>
        <v>0</v>
      </c>
      <c r="N338" s="482">
        <f ca="1">('B. Implementation Plan'!F493+'B. Implementation Plan'!F494)*(N323+N326+N329+N332+N335)</f>
        <v>0</v>
      </c>
      <c r="O338" s="482">
        <f ca="1">('B. Implementation Plan'!F493+'B. Implementation Plan'!F494)*(O323+O326+O329+O332+O335)</f>
        <v>0</v>
      </c>
      <c r="P338" s="488">
        <f t="shared" ca="1" si="154"/>
        <v>0</v>
      </c>
    </row>
    <row r="339" spans="1:16" x14ac:dyDescent="0.3">
      <c r="C339" s="470" t="s">
        <v>781</v>
      </c>
      <c r="E339" s="482">
        <f ca="1">('B. Implementation Plan'!F493+'B. Implementation Plan'!F494)*(E324+E327+E330+E333+E336)</f>
        <v>0</v>
      </c>
      <c r="F339" s="482">
        <f ca="1">('B. Implementation Plan'!F493+'B. Implementation Plan'!F494)*(F324+F327+F330+F333+F336)</f>
        <v>0</v>
      </c>
      <c r="G339" s="482">
        <f ca="1">('B. Implementation Plan'!F493+'B. Implementation Plan'!F494)*(G324+G327+G330+G333+G336)</f>
        <v>0</v>
      </c>
      <c r="H339" s="482">
        <f ca="1">('B. Implementation Plan'!F493+'B. Implementation Plan'!F494)*(H324+H327+H330+H333+H336)</f>
        <v>0</v>
      </c>
      <c r="I339" s="482">
        <f ca="1">('B. Implementation Plan'!F493+'B. Implementation Plan'!F494)*(I324+I327+I330+I333+I336)</f>
        <v>0</v>
      </c>
      <c r="J339" s="482">
        <f ca="1">('B. Implementation Plan'!F493+'B. Implementation Plan'!F494)*(J324+J327+J330+J333+J336)</f>
        <v>0</v>
      </c>
      <c r="K339" s="482">
        <f ca="1">('B. Implementation Plan'!F493+'B. Implementation Plan'!F494)*(K324+K327+K330+K333+K336)</f>
        <v>0</v>
      </c>
      <c r="L339" s="482">
        <f ca="1">('B. Implementation Plan'!F493+'B. Implementation Plan'!F494)*(L324+L327+L330+L333+L336)</f>
        <v>0</v>
      </c>
      <c r="M339" s="482">
        <f ca="1">('B. Implementation Plan'!F493+'B. Implementation Plan'!F494)*(M324+M327+M330+M333+M336)</f>
        <v>0</v>
      </c>
      <c r="N339" s="482">
        <f ca="1">('B. Implementation Plan'!F493+'B. Implementation Plan'!F494)*(N324+N327+N330+N333+N336)</f>
        <v>0</v>
      </c>
      <c r="O339" s="482">
        <f ca="1">('B. Implementation Plan'!F493+'B. Implementation Plan'!F494)*(O324+O327+O330+O333+O336)</f>
        <v>0</v>
      </c>
      <c r="P339" s="488">
        <f t="shared" ca="1" si="154"/>
        <v>0</v>
      </c>
    </row>
    <row r="340" spans="1:16" x14ac:dyDescent="0.3">
      <c r="C340" s="470" t="s">
        <v>782</v>
      </c>
      <c r="E340" s="482">
        <f ca="1">('B. Implementation Plan'!F493+'B. Implementation Plan'!F494)*(E325+E328+E331+E334+E337)</f>
        <v>0</v>
      </c>
      <c r="F340" s="482">
        <f ca="1">('B. Implementation Plan'!F493+'B. Implementation Plan'!F494)*(F325+F328+F331+F334+F337)</f>
        <v>0</v>
      </c>
      <c r="G340" s="482">
        <f ca="1">('B. Implementation Plan'!F493+'B. Implementation Plan'!F494)*(G325+G328+G331+G334+G337)</f>
        <v>0</v>
      </c>
      <c r="H340" s="482">
        <f ca="1">('B. Implementation Plan'!F493+'B. Implementation Plan'!F494)*(H325+H328+H331+H334+H337)</f>
        <v>0</v>
      </c>
      <c r="I340" s="482">
        <f ca="1">('B. Implementation Plan'!F493+'B. Implementation Plan'!F494)*(I325+I328+I331+I334+I337)</f>
        <v>0</v>
      </c>
      <c r="J340" s="482">
        <f ca="1">('B. Implementation Plan'!F493+'B. Implementation Plan'!F494)*(J325+J328+J331+J334+J337)</f>
        <v>0</v>
      </c>
      <c r="K340" s="482">
        <f ca="1">('B. Implementation Plan'!F493+'B. Implementation Plan'!F494)*(K325+K328+K331+K334+K337)</f>
        <v>0</v>
      </c>
      <c r="L340" s="482">
        <f ca="1">('B. Implementation Plan'!F493+'B. Implementation Plan'!F494)*(L325+L328+L331+L334+L337)</f>
        <v>0</v>
      </c>
      <c r="M340" s="482">
        <f ca="1">('B. Implementation Plan'!F493+'B. Implementation Plan'!F494)*(M325+M328+M331+M334+M337)</f>
        <v>0</v>
      </c>
      <c r="N340" s="482">
        <f ca="1">('B. Implementation Plan'!F493+'B. Implementation Plan'!F494)*(N325+N328+N331+N334+N337)</f>
        <v>0</v>
      </c>
      <c r="O340" s="482">
        <f ca="1">('B. Implementation Plan'!F493+'B. Implementation Plan'!F494)*(O325+O328+O331+O334+O337)</f>
        <v>0</v>
      </c>
      <c r="P340" s="488">
        <f t="shared" ca="1" si="154"/>
        <v>0</v>
      </c>
    </row>
    <row r="341" spans="1:16" s="1" customFormat="1" x14ac:dyDescent="0.3">
      <c r="C341" s="409" t="s">
        <v>783</v>
      </c>
      <c r="E341" s="486">
        <f ca="1">E323+E326+E329+E332+E335+E338</f>
        <v>356193.94877474953</v>
      </c>
      <c r="F341" s="486">
        <f t="shared" ref="F341:O341" ca="1" si="176">F323+F326+F329+F332+F335+F338</f>
        <v>361659.02312418324</v>
      </c>
      <c r="G341" s="486">
        <f t="shared" ca="1" si="176"/>
        <v>367302.58579498087</v>
      </c>
      <c r="H341" s="486">
        <f t="shared" ca="1" si="176"/>
        <v>373649.32415409858</v>
      </c>
      <c r="I341" s="486">
        <f t="shared" ca="1" si="176"/>
        <v>379489.68748222128</v>
      </c>
      <c r="J341" s="486">
        <f t="shared" ca="1" si="176"/>
        <v>385351.26212953636</v>
      </c>
      <c r="K341" s="486">
        <f t="shared" ca="1" si="176"/>
        <v>391189.40018006566</v>
      </c>
      <c r="L341" s="486">
        <f t="shared" ca="1" si="176"/>
        <v>397211.8868721464</v>
      </c>
      <c r="M341" s="486">
        <f t="shared" ca="1" si="176"/>
        <v>403370.78322763694</v>
      </c>
      <c r="N341" s="486">
        <f t="shared" ca="1" si="176"/>
        <v>410177.71047112963</v>
      </c>
      <c r="O341" s="486">
        <f t="shared" ca="1" si="176"/>
        <v>416453.41274872696</v>
      </c>
      <c r="P341" s="489">
        <f t="shared" ca="1" si="154"/>
        <v>416453.41274872696</v>
      </c>
    </row>
    <row r="342" spans="1:16" s="1" customFormat="1" x14ac:dyDescent="0.3">
      <c r="C342" s="409" t="s">
        <v>784</v>
      </c>
      <c r="E342" s="486">
        <f t="shared" ref="E342:O342" ca="1" si="177">E324+E327+E330+E333+E336+E339</f>
        <v>22493.903498511962</v>
      </c>
      <c r="F342" s="486">
        <f t="shared" ca="1" si="177"/>
        <v>22248.644849951761</v>
      </c>
      <c r="G342" s="486">
        <f t="shared" ca="1" si="177"/>
        <v>22007.224435535671</v>
      </c>
      <c r="H342" s="486">
        <f t="shared" ca="1" si="177"/>
        <v>21834.573237073822</v>
      </c>
      <c r="I342" s="486">
        <f t="shared" ca="1" si="177"/>
        <v>21618.771248189329</v>
      </c>
      <c r="J342" s="486">
        <f t="shared" ca="1" si="177"/>
        <v>21421.66847135239</v>
      </c>
      <c r="K342" s="486">
        <f t="shared" ca="1" si="177"/>
        <v>21248.986141429923</v>
      </c>
      <c r="L342" s="486">
        <f t="shared" ca="1" si="177"/>
        <v>21077.643395744351</v>
      </c>
      <c r="M342" s="486">
        <f t="shared" ca="1" si="177"/>
        <v>20914.490425771182</v>
      </c>
      <c r="N342" s="486">
        <f t="shared" ca="1" si="177"/>
        <v>20810.469834765805</v>
      </c>
      <c r="O342" s="486">
        <f t="shared" ca="1" si="177"/>
        <v>20671.887112515207</v>
      </c>
      <c r="P342" s="489">
        <f t="shared" ca="1" si="154"/>
        <v>20671.887112515207</v>
      </c>
    </row>
    <row r="343" spans="1:16" s="1" customFormat="1" x14ac:dyDescent="0.3">
      <c r="C343" s="409" t="s">
        <v>785</v>
      </c>
      <c r="E343" s="486">
        <f t="shared" ref="E343:O343" ca="1" si="178">E325+E328+E331+E334+E337+E340</f>
        <v>0</v>
      </c>
      <c r="F343" s="486">
        <f t="shared" ca="1" si="178"/>
        <v>0</v>
      </c>
      <c r="G343" s="486">
        <f t="shared" ca="1" si="178"/>
        <v>0</v>
      </c>
      <c r="H343" s="486">
        <f t="shared" ca="1" si="178"/>
        <v>0</v>
      </c>
      <c r="I343" s="486">
        <f t="shared" ca="1" si="178"/>
        <v>0</v>
      </c>
      <c r="J343" s="486">
        <f t="shared" ca="1" si="178"/>
        <v>0</v>
      </c>
      <c r="K343" s="486">
        <f t="shared" ca="1" si="178"/>
        <v>0</v>
      </c>
      <c r="L343" s="486">
        <f t="shared" ca="1" si="178"/>
        <v>0</v>
      </c>
      <c r="M343" s="486">
        <f t="shared" ca="1" si="178"/>
        <v>0</v>
      </c>
      <c r="N343" s="486">
        <f t="shared" ca="1" si="178"/>
        <v>0</v>
      </c>
      <c r="O343" s="486">
        <f t="shared" ca="1" si="178"/>
        <v>0</v>
      </c>
      <c r="P343" s="489">
        <f t="shared" ca="1" si="154"/>
        <v>0</v>
      </c>
    </row>
    <row r="344" spans="1:16" s="280" customFormat="1" ht="15.6" x14ac:dyDescent="0.3">
      <c r="C344" s="511" t="s">
        <v>787</v>
      </c>
      <c r="E344" s="509">
        <f t="shared" ref="E344:O344" ca="1" si="179">IFERROR(E341/(E198/E201*E193),0)</f>
        <v>5970.3928949212077</v>
      </c>
      <c r="F344" s="509">
        <f t="shared" ca="1" si="179"/>
        <v>6054.7931706993395</v>
      </c>
      <c r="G344" s="509">
        <f t="shared" ca="1" si="179"/>
        <v>6142.3332447637931</v>
      </c>
      <c r="H344" s="509">
        <f t="shared" ca="1" si="179"/>
        <v>6223.0688775523267</v>
      </c>
      <c r="I344" s="509">
        <f t="shared" ca="1" si="179"/>
        <v>6314.163230464801</v>
      </c>
      <c r="J344" s="509">
        <f t="shared" ca="1" si="179"/>
        <v>6405.8719085311004</v>
      </c>
      <c r="K344" s="509">
        <f t="shared" ca="1" si="179"/>
        <v>6497.2872652649867</v>
      </c>
      <c r="L344" s="509">
        <f t="shared" ca="1" si="179"/>
        <v>6591.8520284487304</v>
      </c>
      <c r="M344" s="509">
        <f t="shared" ca="1" si="179"/>
        <v>6688.623329031474</v>
      </c>
      <c r="N344" s="509">
        <f t="shared" ca="1" si="179"/>
        <v>6778.5030547766983</v>
      </c>
      <c r="O344" s="509">
        <f t="shared" ca="1" si="179"/>
        <v>6877.5881808930226</v>
      </c>
      <c r="P344" s="512">
        <f t="shared" ca="1" si="154"/>
        <v>6877.5881808930226</v>
      </c>
    </row>
    <row r="345" spans="1:16" s="280" customFormat="1" ht="15.6" x14ac:dyDescent="0.3">
      <c r="C345" s="511" t="s">
        <v>788</v>
      </c>
      <c r="E345" s="509">
        <f t="shared" ref="E345:O345" ca="1" si="180">IFERROR(E342/(E199/E201*E193),0)</f>
        <v>10639.732383974237</v>
      </c>
      <c r="F345" s="509">
        <f t="shared" ca="1" si="180"/>
        <v>10792.850341398682</v>
      </c>
      <c r="G345" s="509">
        <f t="shared" ca="1" si="180"/>
        <v>10941.944573189652</v>
      </c>
      <c r="H345" s="509">
        <f t="shared" ca="1" si="180"/>
        <v>11086.929118688653</v>
      </c>
      <c r="I345" s="509">
        <f t="shared" ca="1" si="180"/>
        <v>11247.370486330943</v>
      </c>
      <c r="J345" s="509">
        <f t="shared" ca="1" si="180"/>
        <v>11403.958485285513</v>
      </c>
      <c r="K345" s="509">
        <f t="shared" ca="1" si="180"/>
        <v>11569.074440014667</v>
      </c>
      <c r="L345" s="509">
        <f t="shared" ca="1" si="180"/>
        <v>11730.75885711141</v>
      </c>
      <c r="M345" s="509">
        <f t="shared" ca="1" si="180"/>
        <v>11901.174668830763</v>
      </c>
      <c r="N345" s="509">
        <f t="shared" ca="1" si="180"/>
        <v>12061.981391775464</v>
      </c>
      <c r="O345" s="509">
        <f t="shared" ca="1" si="180"/>
        <v>12231.727739716618</v>
      </c>
      <c r="P345" s="512">
        <f t="shared" ca="1" si="154"/>
        <v>12231.727739716618</v>
      </c>
    </row>
    <row r="346" spans="1:16" s="280" customFormat="1" ht="16.2" thickBot="1" x14ac:dyDescent="0.35">
      <c r="C346" s="511" t="s">
        <v>789</v>
      </c>
      <c r="E346" s="509">
        <f t="shared" ref="E346:O346" ca="1" si="181">IFERROR(E343/(E200/E201*E193),0)</f>
        <v>0</v>
      </c>
      <c r="F346" s="509">
        <f t="shared" ca="1" si="181"/>
        <v>0</v>
      </c>
      <c r="G346" s="509">
        <f t="shared" ca="1" si="181"/>
        <v>0</v>
      </c>
      <c r="H346" s="509">
        <f t="shared" ca="1" si="181"/>
        <v>0</v>
      </c>
      <c r="I346" s="509">
        <f t="shared" ca="1" si="181"/>
        <v>0</v>
      </c>
      <c r="J346" s="509">
        <f t="shared" ca="1" si="181"/>
        <v>0</v>
      </c>
      <c r="K346" s="509">
        <f t="shared" ca="1" si="181"/>
        <v>0</v>
      </c>
      <c r="L346" s="509">
        <f t="shared" ca="1" si="181"/>
        <v>0</v>
      </c>
      <c r="M346" s="509">
        <f t="shared" ca="1" si="181"/>
        <v>0</v>
      </c>
      <c r="N346" s="509">
        <f t="shared" ca="1" si="181"/>
        <v>0</v>
      </c>
      <c r="O346" s="509">
        <f t="shared" ca="1" si="181"/>
        <v>0</v>
      </c>
      <c r="P346" s="510">
        <f t="shared" ca="1" si="154"/>
        <v>0</v>
      </c>
    </row>
    <row r="349" spans="1:16" ht="18.600000000000001" thickBot="1" x14ac:dyDescent="0.4">
      <c r="A349" s="239" t="s">
        <v>799</v>
      </c>
      <c r="B349" s="240"/>
      <c r="C349" s="241"/>
    </row>
    <row r="350" spans="1:16" s="365" customFormat="1" ht="14.55" customHeight="1" x14ac:dyDescent="0.3">
      <c r="A350" s="1"/>
      <c r="B350" s="62"/>
      <c r="D350" s="394"/>
      <c r="E350" s="294">
        <v>0</v>
      </c>
      <c r="F350" s="294">
        <v>1</v>
      </c>
      <c r="G350" s="294">
        <v>2</v>
      </c>
      <c r="H350" s="294">
        <v>3</v>
      </c>
      <c r="I350" s="294">
        <v>4</v>
      </c>
      <c r="J350" s="294">
        <v>5</v>
      </c>
      <c r="K350" s="294">
        <v>6</v>
      </c>
      <c r="L350" s="294">
        <v>7</v>
      </c>
      <c r="M350" s="294">
        <v>8</v>
      </c>
      <c r="N350" s="294">
        <v>9</v>
      </c>
      <c r="O350" s="295">
        <v>10</v>
      </c>
      <c r="P350" s="481" t="s">
        <v>2</v>
      </c>
    </row>
    <row r="351" spans="1:16" s="365" customFormat="1" ht="14.55" hidden="1" customHeight="1" outlineLevel="1" x14ac:dyDescent="0.3">
      <c r="A351" s="1"/>
      <c r="B351" s="62"/>
      <c r="C351" s="433" t="s">
        <v>659</v>
      </c>
      <c r="D351" s="394"/>
      <c r="E351" s="347">
        <f ca="1">ROUND('D. Annual Schedule Tables'!E136*'B. Implementation Plan'!P41,0)</f>
        <v>0</v>
      </c>
      <c r="F351" s="347">
        <f ca="1">ROUND('D. Annual Schedule Tables'!F136*'B. Implementation Plan'!P41,0)</f>
        <v>0</v>
      </c>
      <c r="G351" s="347">
        <f ca="1">ROUND('D. Annual Schedule Tables'!G136*'B. Implementation Plan'!P41,0)</f>
        <v>0</v>
      </c>
      <c r="H351" s="347">
        <f ca="1">ROUND('D. Annual Schedule Tables'!H136*'B. Implementation Plan'!P41,0)</f>
        <v>0</v>
      </c>
      <c r="I351" s="347">
        <f ca="1">ROUND('D. Annual Schedule Tables'!I136*'B. Implementation Plan'!P41,0)</f>
        <v>0</v>
      </c>
      <c r="J351" s="347">
        <f ca="1">ROUND('D. Annual Schedule Tables'!J136*'B. Implementation Plan'!P41,0)</f>
        <v>0</v>
      </c>
      <c r="K351" s="347">
        <f ca="1">ROUND('D. Annual Schedule Tables'!K136*'B. Implementation Plan'!P41,0)</f>
        <v>0</v>
      </c>
      <c r="L351" s="347">
        <f ca="1">ROUND('D. Annual Schedule Tables'!L136*'B. Implementation Plan'!P41,0)</f>
        <v>0</v>
      </c>
      <c r="M351" s="347">
        <f ca="1">ROUND('D. Annual Schedule Tables'!M136*'B. Implementation Plan'!P41,0)</f>
        <v>0</v>
      </c>
      <c r="N351" s="347">
        <f ca="1">ROUND('D. Annual Schedule Tables'!N136*'B. Implementation Plan'!P41,0)</f>
        <v>0</v>
      </c>
      <c r="O351" s="347">
        <f ca="1">ROUND('D. Annual Schedule Tables'!O136*'B. Implementation Plan'!P41,0)</f>
        <v>0</v>
      </c>
      <c r="P351" s="434">
        <f t="shared" ref="P351:P352" ca="1" si="182">IF(O351=0,IF(N351=0,IF(M351=0,IF(L351=0,IF(K351=0,IF(J351=0,IF(I351=0,IF(H351=0,IF(G351=0,IF(F351=0,E351,F351),G351),H351),I351),J351),K351),L351),M351),N351),O351)</f>
        <v>0</v>
      </c>
    </row>
    <row r="352" spans="1:16" s="365" customFormat="1" ht="14.55" hidden="1" customHeight="1" outlineLevel="1" x14ac:dyDescent="0.3">
      <c r="A352" s="1"/>
      <c r="B352" s="62"/>
      <c r="C352" s="433" t="s">
        <v>660</v>
      </c>
      <c r="D352" s="394"/>
      <c r="E352" s="347">
        <f ca="1">E353-E351</f>
        <v>0</v>
      </c>
      <c r="F352" s="347">
        <f t="shared" ref="F352:O352" ca="1" si="183">F353-F351</f>
        <v>0</v>
      </c>
      <c r="G352" s="347">
        <f t="shared" ca="1" si="183"/>
        <v>0</v>
      </c>
      <c r="H352" s="347">
        <f t="shared" ca="1" si="183"/>
        <v>0</v>
      </c>
      <c r="I352" s="347">
        <f t="shared" ca="1" si="183"/>
        <v>0</v>
      </c>
      <c r="J352" s="347">
        <f t="shared" ca="1" si="183"/>
        <v>0</v>
      </c>
      <c r="K352" s="347">
        <f t="shared" ca="1" si="183"/>
        <v>0</v>
      </c>
      <c r="L352" s="347">
        <f t="shared" ca="1" si="183"/>
        <v>0</v>
      </c>
      <c r="M352" s="347">
        <f t="shared" ca="1" si="183"/>
        <v>0</v>
      </c>
      <c r="N352" s="347">
        <f t="shared" ca="1" si="183"/>
        <v>0</v>
      </c>
      <c r="O352" s="347">
        <f t="shared" ca="1" si="183"/>
        <v>0</v>
      </c>
      <c r="P352" s="434">
        <f t="shared" ca="1" si="182"/>
        <v>0</v>
      </c>
    </row>
    <row r="353" spans="1:16" s="1" customFormat="1" collapsed="1" x14ac:dyDescent="0.3">
      <c r="C353" s="1" t="s">
        <v>636</v>
      </c>
      <c r="E353" s="324">
        <f ca="1">'D. Annual Schedule Tables'!E136</f>
        <v>0</v>
      </c>
      <c r="F353" s="324">
        <f ca="1">'D. Annual Schedule Tables'!F136</f>
        <v>0</v>
      </c>
      <c r="G353" s="324">
        <f ca="1">'D. Annual Schedule Tables'!G136</f>
        <v>0</v>
      </c>
      <c r="H353" s="324">
        <f ca="1">'D. Annual Schedule Tables'!H136</f>
        <v>0</v>
      </c>
      <c r="I353" s="324">
        <f ca="1">'D. Annual Schedule Tables'!I136</f>
        <v>0</v>
      </c>
      <c r="J353" s="324">
        <f ca="1">'D. Annual Schedule Tables'!J136</f>
        <v>0</v>
      </c>
      <c r="K353" s="324">
        <f ca="1">'D. Annual Schedule Tables'!K136</f>
        <v>0</v>
      </c>
      <c r="L353" s="324">
        <f ca="1">'D. Annual Schedule Tables'!L136</f>
        <v>0</v>
      </c>
      <c r="M353" s="324">
        <f ca="1">'D. Annual Schedule Tables'!M136</f>
        <v>0</v>
      </c>
      <c r="N353" s="324">
        <f ca="1">'D. Annual Schedule Tables'!N136</f>
        <v>0</v>
      </c>
      <c r="O353" s="324">
        <f ca="1">'D. Annual Schedule Tables'!O136</f>
        <v>0</v>
      </c>
      <c r="P353" s="435">
        <f ca="1">IF(O353=0,IF(N353=0,IF(M353=0,IF(L353=0,IF(K353=0,IF(J353=0,IF(I353=0,IF(H353=0,IF(G353=0,IF(F353=0,E353,F353),G353),H353),I353),J353),K353),L353),M353),N353),O353)</f>
        <v>0</v>
      </c>
    </row>
    <row r="354" spans="1:16" s="365" customFormat="1" ht="14.55" hidden="1" customHeight="1" outlineLevel="1" x14ac:dyDescent="0.3">
      <c r="A354" s="1"/>
      <c r="B354" s="62"/>
      <c r="C354" s="396" t="s">
        <v>662</v>
      </c>
      <c r="D354" s="394"/>
      <c r="E354" s="15">
        <f ca="1">IFERROR('D. Annual Schedule Tables'!E30/E353,0)</f>
        <v>0</v>
      </c>
      <c r="F354" s="15">
        <f ca="1">IFERROR('D. Annual Schedule Tables'!F30/F353,0)</f>
        <v>0</v>
      </c>
      <c r="G354" s="15">
        <f ca="1">IFERROR('D. Annual Schedule Tables'!G30/G353,0)</f>
        <v>0</v>
      </c>
      <c r="H354" s="15">
        <f ca="1">IFERROR('D. Annual Schedule Tables'!H30/H353,0)</f>
        <v>0</v>
      </c>
      <c r="I354" s="15">
        <f ca="1">IFERROR('D. Annual Schedule Tables'!I30/I353,0)</f>
        <v>0</v>
      </c>
      <c r="J354" s="15">
        <f ca="1">IFERROR('D. Annual Schedule Tables'!J30/J353,0)</f>
        <v>0</v>
      </c>
      <c r="K354" s="15">
        <f ca="1">IFERROR('D. Annual Schedule Tables'!K30/K353,0)</f>
        <v>0</v>
      </c>
      <c r="L354" s="15">
        <f ca="1">IFERROR('D. Annual Schedule Tables'!L30/L353,0)</f>
        <v>0</v>
      </c>
      <c r="M354" s="15">
        <f ca="1">IFERROR('D. Annual Schedule Tables'!M30/M353,0)</f>
        <v>0</v>
      </c>
      <c r="N354" s="15">
        <f ca="1">IFERROR('D. Annual Schedule Tables'!N30/N353,0)</f>
        <v>0</v>
      </c>
      <c r="O354" s="15">
        <f ca="1">IFERROR('D. Annual Schedule Tables'!O30/O353,0)</f>
        <v>0</v>
      </c>
      <c r="P354" s="434">
        <f t="shared" ref="P354:P357" ca="1" si="184">IF(O354=0,IF(N354=0,IF(M354=0,IF(L354=0,IF(K354=0,IF(J354=0,IF(I354=0,IF(H354=0,IF(G354=0,IF(F354=0,E354,F354),G354),H354),I354),J354),K354),L354),M354),N354),O354)</f>
        <v>0</v>
      </c>
    </row>
    <row r="355" spans="1:16" s="365" customFormat="1" ht="14.55" hidden="1" customHeight="1" outlineLevel="1" x14ac:dyDescent="0.3">
      <c r="A355" s="1"/>
      <c r="B355" s="62"/>
      <c r="C355" s="396" t="s">
        <v>663</v>
      </c>
      <c r="D355" s="394"/>
      <c r="E355" s="15">
        <f ca="1">IFERROR('D. Annual Schedule Tables'!E37/E353,0)</f>
        <v>0</v>
      </c>
      <c r="F355" s="15">
        <f ca="1">IFERROR('D. Annual Schedule Tables'!F37/F353,0)</f>
        <v>0</v>
      </c>
      <c r="G355" s="15">
        <f ca="1">IFERROR('D. Annual Schedule Tables'!G37/G353,0)</f>
        <v>0</v>
      </c>
      <c r="H355" s="15">
        <f ca="1">IFERROR('D. Annual Schedule Tables'!H37/H353,0)</f>
        <v>0</v>
      </c>
      <c r="I355" s="15">
        <f ca="1">IFERROR('D. Annual Schedule Tables'!I37/I353,0)</f>
        <v>0</v>
      </c>
      <c r="J355" s="15">
        <f ca="1">IFERROR('D. Annual Schedule Tables'!J37/J353,0)</f>
        <v>0</v>
      </c>
      <c r="K355" s="15">
        <f ca="1">IFERROR('D. Annual Schedule Tables'!K37/K353,0)</f>
        <v>0</v>
      </c>
      <c r="L355" s="15">
        <f ca="1">IFERROR('D. Annual Schedule Tables'!L37/L353,0)</f>
        <v>0</v>
      </c>
      <c r="M355" s="15">
        <f ca="1">IFERROR('D. Annual Schedule Tables'!M37/M353,0)</f>
        <v>0</v>
      </c>
      <c r="N355" s="15">
        <f ca="1">IFERROR('D. Annual Schedule Tables'!N37/N353,0)</f>
        <v>0</v>
      </c>
      <c r="O355" s="15">
        <f ca="1">IFERROR('D. Annual Schedule Tables'!O37/O353,0)</f>
        <v>0</v>
      </c>
      <c r="P355" s="434">
        <f t="shared" ca="1" si="184"/>
        <v>0</v>
      </c>
    </row>
    <row r="356" spans="1:16" s="365" customFormat="1" ht="14.55" hidden="1" customHeight="1" outlineLevel="1" x14ac:dyDescent="0.3">
      <c r="A356" s="1"/>
      <c r="B356" s="62"/>
      <c r="C356" s="420" t="s">
        <v>664</v>
      </c>
      <c r="D356" s="394"/>
      <c r="E356" s="15">
        <f ca="1">IFERROR('D. Annual Schedule Tables'!E44/E353,0)</f>
        <v>0</v>
      </c>
      <c r="F356" s="15">
        <f ca="1">IFERROR('D. Annual Schedule Tables'!F44/F353,0)</f>
        <v>0</v>
      </c>
      <c r="G356" s="15">
        <f ca="1">IFERROR('D. Annual Schedule Tables'!G44/G353,0)</f>
        <v>0</v>
      </c>
      <c r="H356" s="15">
        <f ca="1">IFERROR('D. Annual Schedule Tables'!H44/H353,0)</f>
        <v>0</v>
      </c>
      <c r="I356" s="15">
        <f ca="1">IFERROR('D. Annual Schedule Tables'!I44/I353,0)</f>
        <v>0</v>
      </c>
      <c r="J356" s="15">
        <f ca="1">IFERROR('D. Annual Schedule Tables'!J44/J353,0)</f>
        <v>0</v>
      </c>
      <c r="K356" s="15">
        <f ca="1">IFERROR('D. Annual Schedule Tables'!K44/K353,0)</f>
        <v>0</v>
      </c>
      <c r="L356" s="15">
        <f ca="1">IFERROR('D. Annual Schedule Tables'!L44/L353,0)</f>
        <v>0</v>
      </c>
      <c r="M356" s="15">
        <f ca="1">IFERROR('D. Annual Schedule Tables'!M44/M353,0)</f>
        <v>0</v>
      </c>
      <c r="N356" s="15">
        <f ca="1">IFERROR('D. Annual Schedule Tables'!N44/N353,0)</f>
        <v>0</v>
      </c>
      <c r="O356" s="15">
        <f ca="1">IFERROR('D. Annual Schedule Tables'!O44/O353,0)</f>
        <v>0</v>
      </c>
      <c r="P356" s="434">
        <f t="shared" ca="1" si="184"/>
        <v>0</v>
      </c>
    </row>
    <row r="357" spans="1:16" s="1" customFormat="1" ht="14.55" customHeight="1" collapsed="1" x14ac:dyDescent="0.3">
      <c r="B357" s="62"/>
      <c r="C357" s="1" t="s">
        <v>665</v>
      </c>
      <c r="D357" s="394"/>
      <c r="E357" s="324">
        <f ca="1">IFERROR('D. Annual Schedule Tables'!E19/E353,0)</f>
        <v>0</v>
      </c>
      <c r="F357" s="324">
        <f ca="1">IFERROR('D. Annual Schedule Tables'!F19/F353,0)</f>
        <v>0</v>
      </c>
      <c r="G357" s="324">
        <f ca="1">IFERROR('D. Annual Schedule Tables'!G19/G353,0)</f>
        <v>0</v>
      </c>
      <c r="H357" s="324">
        <f ca="1">IFERROR('D. Annual Schedule Tables'!H19/H353,0)</f>
        <v>0</v>
      </c>
      <c r="I357" s="324">
        <f ca="1">IFERROR('D. Annual Schedule Tables'!I19/I353,0)</f>
        <v>0</v>
      </c>
      <c r="J357" s="324">
        <f ca="1">IFERROR('D. Annual Schedule Tables'!J19/J353,0)</f>
        <v>0</v>
      </c>
      <c r="K357" s="324">
        <f ca="1">IFERROR('D. Annual Schedule Tables'!K19/K353,0)</f>
        <v>0</v>
      </c>
      <c r="L357" s="324">
        <f ca="1">IFERROR('D. Annual Schedule Tables'!L19/L353,0)</f>
        <v>0</v>
      </c>
      <c r="M357" s="324">
        <f ca="1">IFERROR('D. Annual Schedule Tables'!M19/M353,0)</f>
        <v>0</v>
      </c>
      <c r="N357" s="324">
        <f ca="1">IFERROR('D. Annual Schedule Tables'!N19/N353,0)</f>
        <v>0</v>
      </c>
      <c r="O357" s="324">
        <f ca="1">IFERROR('D. Annual Schedule Tables'!O19/O353,0)</f>
        <v>0</v>
      </c>
      <c r="P357" s="435">
        <f t="shared" ca="1" si="184"/>
        <v>0</v>
      </c>
    </row>
    <row r="358" spans="1:16" s="1" customFormat="1" ht="14.55" hidden="1" customHeight="1" outlineLevel="1" x14ac:dyDescent="0.3">
      <c r="B358" s="62"/>
      <c r="C358" s="396" t="s">
        <v>748</v>
      </c>
      <c r="D358" s="394"/>
      <c r="E358" s="507">
        <f ca="1">IFERROR('D. Annual Schedule Tables'!E85/E353,0)</f>
        <v>0</v>
      </c>
      <c r="F358" s="507">
        <f ca="1">IFERROR('D. Annual Schedule Tables'!F85/F353,0)</f>
        <v>0</v>
      </c>
      <c r="G358" s="507">
        <f ca="1">IFERROR('D. Annual Schedule Tables'!G85/G353,0)</f>
        <v>0</v>
      </c>
      <c r="H358" s="507">
        <f ca="1">IFERROR('D. Annual Schedule Tables'!H85/H353,0)</f>
        <v>0</v>
      </c>
      <c r="I358" s="507">
        <f ca="1">IFERROR('D. Annual Schedule Tables'!I85/I353,0)</f>
        <v>0</v>
      </c>
      <c r="J358" s="507">
        <f ca="1">IFERROR('D. Annual Schedule Tables'!J85/J353,0)</f>
        <v>0</v>
      </c>
      <c r="K358" s="507">
        <f ca="1">IFERROR('D. Annual Schedule Tables'!K85/K353,0)</f>
        <v>0</v>
      </c>
      <c r="L358" s="507">
        <f ca="1">IFERROR('D. Annual Schedule Tables'!L85/L353,0)</f>
        <v>0</v>
      </c>
      <c r="M358" s="507">
        <f ca="1">IFERROR('D. Annual Schedule Tables'!M85/M353,0)</f>
        <v>0</v>
      </c>
      <c r="N358" s="507">
        <f ca="1">IFERROR('D. Annual Schedule Tables'!N85/N353,0)</f>
        <v>0</v>
      </c>
      <c r="O358" s="507">
        <f ca="1">IFERROR('D. Annual Schedule Tables'!O85/O353,0)</f>
        <v>0</v>
      </c>
      <c r="P358" s="474">
        <f ca="1">IF(O358=0,IF(N358=0,IF(M358=0,IF(L358=0,IF(K358=0,IF(J358=0,IF(I358=0,IF(H358=0,IF(G358=0,IF(F358=0,E358,F358),G358),H358),I358),J358),K358),L358),M358),N358),O358)</f>
        <v>0</v>
      </c>
    </row>
    <row r="359" spans="1:16" s="1" customFormat="1" ht="14.55" hidden="1" customHeight="1" outlineLevel="1" x14ac:dyDescent="0.3">
      <c r="B359" s="62"/>
      <c r="C359" s="396" t="s">
        <v>749</v>
      </c>
      <c r="D359" s="394"/>
      <c r="E359" s="507">
        <f ca="1">IFERROR('D. Annual Schedule Tables'!E86/E353,0)</f>
        <v>0</v>
      </c>
      <c r="F359" s="507">
        <f ca="1">IFERROR('D. Annual Schedule Tables'!F86/F353,0)</f>
        <v>0</v>
      </c>
      <c r="G359" s="507">
        <f ca="1">IFERROR('D. Annual Schedule Tables'!G86/G353,0)</f>
        <v>0</v>
      </c>
      <c r="H359" s="507">
        <f ca="1">IFERROR('D. Annual Schedule Tables'!H86/H353,0)</f>
        <v>0</v>
      </c>
      <c r="I359" s="507">
        <f ca="1">IFERROR('D. Annual Schedule Tables'!I86/I353,0)</f>
        <v>0</v>
      </c>
      <c r="J359" s="507">
        <f ca="1">IFERROR('D. Annual Schedule Tables'!J86/J353,0)</f>
        <v>0</v>
      </c>
      <c r="K359" s="507">
        <f ca="1">IFERROR('D. Annual Schedule Tables'!K86/K353,0)</f>
        <v>0</v>
      </c>
      <c r="L359" s="507">
        <f ca="1">IFERROR('D. Annual Schedule Tables'!L86/L353,0)</f>
        <v>0</v>
      </c>
      <c r="M359" s="507">
        <f ca="1">IFERROR('D. Annual Schedule Tables'!M86/M353,0)</f>
        <v>0</v>
      </c>
      <c r="N359" s="507">
        <f ca="1">IFERROR('D. Annual Schedule Tables'!N86/N353,0)</f>
        <v>0</v>
      </c>
      <c r="O359" s="507">
        <f ca="1">IFERROR('D. Annual Schedule Tables'!O86/O353,0)</f>
        <v>0</v>
      </c>
      <c r="P359" s="474">
        <f ca="1">IF(O359=0,IF(N359=0,IF(M359=0,IF(L359=0,IF(K359=0,IF(J359=0,IF(I359=0,IF(H359=0,IF(G359=0,IF(F359=0,E359,F359),G359),H359),I359),J359),K359),L359),M359),N359),O359)</f>
        <v>0</v>
      </c>
    </row>
    <row r="360" spans="1:16" s="1" customFormat="1" ht="14.55" hidden="1" customHeight="1" outlineLevel="1" x14ac:dyDescent="0.3">
      <c r="B360" s="62"/>
      <c r="C360" s="396" t="s">
        <v>750</v>
      </c>
      <c r="D360" s="394"/>
      <c r="E360" s="507">
        <f ca="1">IFERROR('D. Annual Schedule Tables'!E87/E353,0)</f>
        <v>0</v>
      </c>
      <c r="F360" s="507">
        <f ca="1">IFERROR('D. Annual Schedule Tables'!F87/F353,0)</f>
        <v>0</v>
      </c>
      <c r="G360" s="507">
        <f ca="1">IFERROR('D. Annual Schedule Tables'!G87/G353,0)</f>
        <v>0</v>
      </c>
      <c r="H360" s="507">
        <f ca="1">IFERROR('D. Annual Schedule Tables'!H87/H353,0)</f>
        <v>0</v>
      </c>
      <c r="I360" s="507">
        <f ca="1">IFERROR('D. Annual Schedule Tables'!I87/I353,0)</f>
        <v>0</v>
      </c>
      <c r="J360" s="507">
        <f ca="1">IFERROR('D. Annual Schedule Tables'!J87/J353,0)</f>
        <v>0</v>
      </c>
      <c r="K360" s="507">
        <f ca="1">IFERROR('D. Annual Schedule Tables'!K87/K353,0)</f>
        <v>0</v>
      </c>
      <c r="L360" s="507">
        <f ca="1">IFERROR('D. Annual Schedule Tables'!L87/L353,0)</f>
        <v>0</v>
      </c>
      <c r="M360" s="507">
        <f ca="1">IFERROR('D. Annual Schedule Tables'!M87/M353,0)</f>
        <v>0</v>
      </c>
      <c r="N360" s="507">
        <f ca="1">IFERROR('D. Annual Schedule Tables'!N87/N353,0)</f>
        <v>0</v>
      </c>
      <c r="O360" s="507">
        <f ca="1">IFERROR('D. Annual Schedule Tables'!O87/O353,0)</f>
        <v>0</v>
      </c>
      <c r="P360" s="474">
        <f ca="1">IF(O360=0,IF(N360=0,IF(M360=0,IF(L360=0,IF(K360=0,IF(J360=0,IF(I360=0,IF(H360=0,IF(G360=0,IF(F360=0,E360,F360),G360),H360),I360),J360),K360),L360),M360),N360),O360)</f>
        <v>0</v>
      </c>
    </row>
    <row r="361" spans="1:16" s="1" customFormat="1" collapsed="1" x14ac:dyDescent="0.3">
      <c r="C361" s="1" t="s">
        <v>661</v>
      </c>
      <c r="E361" s="506">
        <f ca="1">IFERROR('D. Annual Schedule Tables'!E88/E353,0)</f>
        <v>0</v>
      </c>
      <c r="F361" s="506">
        <f ca="1">IFERROR('D. Annual Schedule Tables'!F88/F353,0)</f>
        <v>0</v>
      </c>
      <c r="G361" s="506">
        <f ca="1">IFERROR('D. Annual Schedule Tables'!G88/G353,0)</f>
        <v>0</v>
      </c>
      <c r="H361" s="506">
        <f ca="1">IFERROR('D. Annual Schedule Tables'!H88/H353,0)</f>
        <v>0</v>
      </c>
      <c r="I361" s="506">
        <f ca="1">IFERROR('D. Annual Schedule Tables'!I88/I353,0)</f>
        <v>0</v>
      </c>
      <c r="J361" s="506">
        <f ca="1">IFERROR('D. Annual Schedule Tables'!J88/J353,0)</f>
        <v>0</v>
      </c>
      <c r="K361" s="506">
        <f ca="1">IFERROR('D. Annual Schedule Tables'!K88/K353,0)</f>
        <v>0</v>
      </c>
      <c r="L361" s="506">
        <f ca="1">IFERROR('D. Annual Schedule Tables'!L88/L353,0)</f>
        <v>0</v>
      </c>
      <c r="M361" s="506">
        <f ca="1">IFERROR('D. Annual Schedule Tables'!M88/M353,0)</f>
        <v>0</v>
      </c>
      <c r="N361" s="506">
        <f ca="1">IFERROR('D. Annual Schedule Tables'!N88/N353,0)</f>
        <v>0</v>
      </c>
      <c r="O361" s="506">
        <f ca="1">IFERROR('D. Annual Schedule Tables'!O88/O353,0)</f>
        <v>0</v>
      </c>
      <c r="P361" s="474">
        <f t="shared" ref="P361:P368" ca="1" si="185">IF(O361=0,IF(N361=0,IF(M361=0,IF(L361=0,IF(K361=0,IF(J361=0,IF(I361=0,IF(H361=0,IF(G361=0,IF(F361=0,E361,F361),G361),H361),I361),J361),K361),L361),M361),N361),O361)</f>
        <v>0</v>
      </c>
    </row>
    <row r="362" spans="1:16" hidden="1" outlineLevel="1" x14ac:dyDescent="0.3">
      <c r="C362" s="396" t="s">
        <v>666</v>
      </c>
      <c r="E362" s="327">
        <f ca="1">IFERROR('D. Annual Schedule Tables'!E66/E353,0)</f>
        <v>0</v>
      </c>
      <c r="F362" s="327">
        <f ca="1">IFERROR('D. Annual Schedule Tables'!F66/F353,0)</f>
        <v>0</v>
      </c>
      <c r="G362" s="327">
        <f ca="1">IFERROR('D. Annual Schedule Tables'!G66/G353,0)</f>
        <v>0</v>
      </c>
      <c r="H362" s="327">
        <f ca="1">IFERROR('D. Annual Schedule Tables'!H66/H353,0)</f>
        <v>0</v>
      </c>
      <c r="I362" s="327">
        <f ca="1">IFERROR('D. Annual Schedule Tables'!I66/I353,0)</f>
        <v>0</v>
      </c>
      <c r="J362" s="327">
        <f ca="1">IFERROR('D. Annual Schedule Tables'!J66/J353,0)</f>
        <v>0</v>
      </c>
      <c r="K362" s="327">
        <f ca="1">IFERROR('D. Annual Schedule Tables'!K66/K353,0)</f>
        <v>0</v>
      </c>
      <c r="L362" s="327">
        <f ca="1">IFERROR('D. Annual Schedule Tables'!L66/L353,0)</f>
        <v>0</v>
      </c>
      <c r="M362" s="327">
        <f ca="1">IFERROR('D. Annual Schedule Tables'!M66/M353,0)</f>
        <v>0</v>
      </c>
      <c r="N362" s="327">
        <f ca="1">IFERROR('D. Annual Schedule Tables'!N66/N353,0)</f>
        <v>0</v>
      </c>
      <c r="O362" s="327">
        <f ca="1">IFERROR('D. Annual Schedule Tables'!O66/O353,0)</f>
        <v>0</v>
      </c>
      <c r="P362" s="467">
        <f t="shared" ca="1" si="185"/>
        <v>0</v>
      </c>
    </row>
    <row r="363" spans="1:16" hidden="1" outlineLevel="1" x14ac:dyDescent="0.3">
      <c r="C363" s="396" t="s">
        <v>667</v>
      </c>
      <c r="E363" s="327">
        <f ca="1">IFERROR('D. Annual Schedule Tables'!E67/E353,0)</f>
        <v>0</v>
      </c>
      <c r="F363" s="327">
        <f ca="1">IFERROR('D. Annual Schedule Tables'!F67/F353,0)</f>
        <v>0</v>
      </c>
      <c r="G363" s="327">
        <f ca="1">IFERROR('D. Annual Schedule Tables'!G67/G353,0)</f>
        <v>0</v>
      </c>
      <c r="H363" s="327">
        <f ca="1">IFERROR('D. Annual Schedule Tables'!H67/H353,0)</f>
        <v>0</v>
      </c>
      <c r="I363" s="327">
        <f ca="1">IFERROR('D. Annual Schedule Tables'!I67/I353,0)</f>
        <v>0</v>
      </c>
      <c r="J363" s="327">
        <f ca="1">IFERROR('D. Annual Schedule Tables'!J67/J353,0)</f>
        <v>0</v>
      </c>
      <c r="K363" s="327">
        <f ca="1">IFERROR('D. Annual Schedule Tables'!K67/K353,0)</f>
        <v>0</v>
      </c>
      <c r="L363" s="327">
        <f ca="1">IFERROR('D. Annual Schedule Tables'!L67/L353,0)</f>
        <v>0</v>
      </c>
      <c r="M363" s="327">
        <f ca="1">IFERROR('D. Annual Schedule Tables'!M67/M353,0)</f>
        <v>0</v>
      </c>
      <c r="N363" s="327">
        <f ca="1">IFERROR('D. Annual Schedule Tables'!N67/N353,0)</f>
        <v>0</v>
      </c>
      <c r="O363" s="327">
        <f ca="1">IFERROR('D. Annual Schedule Tables'!O67/O353,0)</f>
        <v>0</v>
      </c>
      <c r="P363" s="467">
        <f t="shared" ca="1" si="185"/>
        <v>0</v>
      </c>
    </row>
    <row r="364" spans="1:16" hidden="1" outlineLevel="1" x14ac:dyDescent="0.3">
      <c r="C364" s="396" t="s">
        <v>668</v>
      </c>
      <c r="E364" s="327">
        <f ca="1">IFERROR('D. Annual Schedule Tables'!E68/E353,0)</f>
        <v>0</v>
      </c>
      <c r="F364" s="327">
        <f ca="1">IFERROR('D. Annual Schedule Tables'!F68/F353,0)</f>
        <v>0</v>
      </c>
      <c r="G364" s="327">
        <f ca="1">IFERROR('D. Annual Schedule Tables'!G68/G353,0)</f>
        <v>0</v>
      </c>
      <c r="H364" s="327">
        <f ca="1">IFERROR('D. Annual Schedule Tables'!H68/H353,0)</f>
        <v>0</v>
      </c>
      <c r="I364" s="327">
        <f ca="1">IFERROR('D. Annual Schedule Tables'!I68/I353,0)</f>
        <v>0</v>
      </c>
      <c r="J364" s="327">
        <f ca="1">IFERROR('D. Annual Schedule Tables'!J68/J353,0)</f>
        <v>0</v>
      </c>
      <c r="K364" s="327">
        <f ca="1">IFERROR('D. Annual Schedule Tables'!K68/K353,0)</f>
        <v>0</v>
      </c>
      <c r="L364" s="327">
        <f ca="1">IFERROR('D. Annual Schedule Tables'!L68/L353,0)</f>
        <v>0</v>
      </c>
      <c r="M364" s="327">
        <f ca="1">IFERROR('D. Annual Schedule Tables'!M68/M353,0)</f>
        <v>0</v>
      </c>
      <c r="N364" s="327">
        <f ca="1">IFERROR('D. Annual Schedule Tables'!N68/N353,0)</f>
        <v>0</v>
      </c>
      <c r="O364" s="327">
        <f ca="1">IFERROR('D. Annual Schedule Tables'!O68/O353,0)</f>
        <v>0</v>
      </c>
      <c r="P364" s="467">
        <f t="shared" ca="1" si="185"/>
        <v>0</v>
      </c>
    </row>
    <row r="365" spans="1:16" s="1" customFormat="1" collapsed="1" x14ac:dyDescent="0.3">
      <c r="C365" s="409" t="s">
        <v>669</v>
      </c>
      <c r="E365" s="506">
        <f ca="1">IFERROR('D. Annual Schedule Tables'!E69/E353,0)</f>
        <v>0</v>
      </c>
      <c r="F365" s="506">
        <f ca="1">IFERROR('D. Annual Schedule Tables'!F69/F353,0)</f>
        <v>0</v>
      </c>
      <c r="G365" s="506">
        <f ca="1">IFERROR('D. Annual Schedule Tables'!G69/G353,0)</f>
        <v>0</v>
      </c>
      <c r="H365" s="506">
        <f ca="1">IFERROR('D. Annual Schedule Tables'!H69/H353,0)</f>
        <v>0</v>
      </c>
      <c r="I365" s="506">
        <f ca="1">IFERROR('D. Annual Schedule Tables'!I69/I353,0)</f>
        <v>0</v>
      </c>
      <c r="J365" s="506">
        <f ca="1">IFERROR('D. Annual Schedule Tables'!J69/J353,0)</f>
        <v>0</v>
      </c>
      <c r="K365" s="506">
        <f ca="1">IFERROR('D. Annual Schedule Tables'!K69/K353,0)</f>
        <v>0</v>
      </c>
      <c r="L365" s="506">
        <f ca="1">IFERROR('D. Annual Schedule Tables'!L69/L353,0)</f>
        <v>0</v>
      </c>
      <c r="M365" s="506">
        <f ca="1">IFERROR('D. Annual Schedule Tables'!M69/M353,0)</f>
        <v>0</v>
      </c>
      <c r="N365" s="506">
        <f ca="1">IFERROR('D. Annual Schedule Tables'!N69/N353,0)</f>
        <v>0</v>
      </c>
      <c r="O365" s="506">
        <f ca="1">IFERROR('D. Annual Schedule Tables'!O69/O353,0)</f>
        <v>0</v>
      </c>
      <c r="P365" s="474">
        <f t="shared" ca="1" si="185"/>
        <v>0</v>
      </c>
    </row>
    <row r="366" spans="1:16" s="1" customFormat="1" hidden="1" outlineLevel="1" x14ac:dyDescent="0.3">
      <c r="C366" s="433" t="s">
        <v>725</v>
      </c>
      <c r="E366" s="507">
        <f ca="1">IFERROR('D. Annual Schedule Tables'!E104/E353,0)</f>
        <v>0</v>
      </c>
      <c r="F366" s="507">
        <f ca="1">IFERROR('D. Annual Schedule Tables'!F104/F353,0)</f>
        <v>0</v>
      </c>
      <c r="G366" s="507">
        <f ca="1">IFERROR('D. Annual Schedule Tables'!G104/G353,0)</f>
        <v>0</v>
      </c>
      <c r="H366" s="507">
        <f ca="1">IFERROR('D. Annual Schedule Tables'!H104/H353,0)</f>
        <v>0</v>
      </c>
      <c r="I366" s="507">
        <f ca="1">IFERROR('D. Annual Schedule Tables'!I104/I353,0)</f>
        <v>0</v>
      </c>
      <c r="J366" s="507">
        <f ca="1">IFERROR('D. Annual Schedule Tables'!J104/J353,0)</f>
        <v>0</v>
      </c>
      <c r="K366" s="507">
        <f ca="1">IFERROR('D. Annual Schedule Tables'!K104/K353,0)</f>
        <v>0</v>
      </c>
      <c r="L366" s="507">
        <f ca="1">IFERROR('D. Annual Schedule Tables'!L104/L353,0)</f>
        <v>0</v>
      </c>
      <c r="M366" s="507">
        <f ca="1">IFERROR('D. Annual Schedule Tables'!M104/M353,0)</f>
        <v>0</v>
      </c>
      <c r="N366" s="507">
        <f ca="1">IFERROR('D. Annual Schedule Tables'!N104/N353,0)</f>
        <v>0</v>
      </c>
      <c r="O366" s="507">
        <f ca="1">IFERROR('D. Annual Schedule Tables'!O104/O353,0)</f>
        <v>0</v>
      </c>
      <c r="P366" s="467">
        <f t="shared" ca="1" si="185"/>
        <v>0</v>
      </c>
    </row>
    <row r="367" spans="1:16" s="1" customFormat="1" hidden="1" outlineLevel="1" x14ac:dyDescent="0.3">
      <c r="C367" s="433" t="s">
        <v>670</v>
      </c>
      <c r="E367" s="507">
        <f ca="1">IFERROR('D. Annual Schedule Tables'!E105/E353,0)</f>
        <v>0</v>
      </c>
      <c r="F367" s="507">
        <f ca="1">IFERROR('D. Annual Schedule Tables'!F105/F353,0)</f>
        <v>0</v>
      </c>
      <c r="G367" s="507">
        <f ca="1">IFERROR('D. Annual Schedule Tables'!G105/G353,0)</f>
        <v>0</v>
      </c>
      <c r="H367" s="507">
        <f ca="1">IFERROR('D. Annual Schedule Tables'!H105/H353,0)</f>
        <v>0</v>
      </c>
      <c r="I367" s="507">
        <f ca="1">IFERROR('D. Annual Schedule Tables'!I105/I353,0)</f>
        <v>0</v>
      </c>
      <c r="J367" s="507">
        <f ca="1">IFERROR('D. Annual Schedule Tables'!J105/J353,0)</f>
        <v>0</v>
      </c>
      <c r="K367" s="507">
        <f ca="1">IFERROR('D. Annual Schedule Tables'!K105/K353,0)</f>
        <v>0</v>
      </c>
      <c r="L367" s="507">
        <f ca="1">IFERROR('D. Annual Schedule Tables'!L105/L353,0)</f>
        <v>0</v>
      </c>
      <c r="M367" s="507">
        <f ca="1">IFERROR('D. Annual Schedule Tables'!M105/M353,0)</f>
        <v>0</v>
      </c>
      <c r="N367" s="507">
        <f ca="1">IFERROR('D. Annual Schedule Tables'!N105/N353,0)</f>
        <v>0</v>
      </c>
      <c r="O367" s="507">
        <f ca="1">IFERROR('D. Annual Schedule Tables'!O105/O353,0)</f>
        <v>0</v>
      </c>
      <c r="P367" s="467">
        <f t="shared" ca="1" si="185"/>
        <v>0</v>
      </c>
    </row>
    <row r="368" spans="1:16" s="1" customFormat="1" hidden="1" outlineLevel="1" x14ac:dyDescent="0.3">
      <c r="C368" s="433" t="s">
        <v>671</v>
      </c>
      <c r="E368" s="347">
        <f ca="1">IFERROR('D. Annual Schedule Tables'!E106/E353,0)</f>
        <v>0</v>
      </c>
      <c r="F368" s="347">
        <f ca="1">IFERROR('D. Annual Schedule Tables'!F106/F353,0)</f>
        <v>0</v>
      </c>
      <c r="G368" s="347">
        <f ca="1">IFERROR('D. Annual Schedule Tables'!G106/G353,0)</f>
        <v>0</v>
      </c>
      <c r="H368" s="347">
        <f ca="1">IFERROR('D. Annual Schedule Tables'!H106/H353,0)</f>
        <v>0</v>
      </c>
      <c r="I368" s="347">
        <f ca="1">IFERROR('D. Annual Schedule Tables'!I106/I353,0)</f>
        <v>0</v>
      </c>
      <c r="J368" s="347">
        <f ca="1">IFERROR('D. Annual Schedule Tables'!J106/J353,0)</f>
        <v>0</v>
      </c>
      <c r="K368" s="347">
        <f ca="1">IFERROR('D. Annual Schedule Tables'!K106/K353,0)</f>
        <v>0</v>
      </c>
      <c r="L368" s="347">
        <f ca="1">IFERROR('D. Annual Schedule Tables'!L106/L353,0)</f>
        <v>0</v>
      </c>
      <c r="M368" s="347">
        <f ca="1">IFERROR('D. Annual Schedule Tables'!M106/M353,0)</f>
        <v>0</v>
      </c>
      <c r="N368" s="347">
        <f ca="1">IFERROR('D. Annual Schedule Tables'!N106/N353,0)</f>
        <v>0</v>
      </c>
      <c r="O368" s="347">
        <f ca="1">IFERROR('D. Annual Schedule Tables'!O106/O353,0)</f>
        <v>0</v>
      </c>
      <c r="P368" s="434">
        <f t="shared" ca="1" si="185"/>
        <v>0</v>
      </c>
    </row>
    <row r="369" spans="3:16" s="1" customFormat="1" collapsed="1" x14ac:dyDescent="0.3">
      <c r="C369" s="1" t="s">
        <v>672</v>
      </c>
      <c r="E369" s="506">
        <f ca="1">IFERROR('D. Annual Schedule Tables'!E107/E353,0)</f>
        <v>0</v>
      </c>
      <c r="F369" s="506">
        <f ca="1">IFERROR('D. Annual Schedule Tables'!F107/F353,0)</f>
        <v>0</v>
      </c>
      <c r="G369" s="506">
        <f ca="1">IFERROR('D. Annual Schedule Tables'!G107/G353,0)</f>
        <v>0</v>
      </c>
      <c r="H369" s="506">
        <f ca="1">IFERROR('D. Annual Schedule Tables'!H107/H353,0)</f>
        <v>0</v>
      </c>
      <c r="I369" s="506">
        <f ca="1">IFERROR('D. Annual Schedule Tables'!I107/I353,0)</f>
        <v>0</v>
      </c>
      <c r="J369" s="506">
        <f ca="1">IFERROR('D. Annual Schedule Tables'!J107/J353,0)</f>
        <v>0</v>
      </c>
      <c r="K369" s="506">
        <f ca="1">IFERROR('D. Annual Schedule Tables'!K107/K353,0)</f>
        <v>0</v>
      </c>
      <c r="L369" s="506">
        <f ca="1">IFERROR('D. Annual Schedule Tables'!L107/L353,0)</f>
        <v>0</v>
      </c>
      <c r="M369" s="506">
        <f ca="1">IFERROR('D. Annual Schedule Tables'!M107/M353,0)</f>
        <v>0</v>
      </c>
      <c r="N369" s="506">
        <f ca="1">IFERROR('D. Annual Schedule Tables'!N107/N353,0)</f>
        <v>0</v>
      </c>
      <c r="O369" s="506">
        <f ca="1">IFERROR('D. Annual Schedule Tables'!O107/O353,0)</f>
        <v>0</v>
      </c>
      <c r="P369" s="474">
        <f ca="1">IF(O369=0,IF(N369=0,IF(M369=0,IF(L369=0,IF(K369=0,IF(J369=0,IF(I369=0,IF(H369=0,IF(G369=0,IF(F369=0,E369,F369),G369),H369),I369),J369),K369),L369),M369),N369),O369)</f>
        <v>0</v>
      </c>
    </row>
    <row r="370" spans="3:16" s="1" customFormat="1" hidden="1" outlineLevel="1" x14ac:dyDescent="0.3">
      <c r="C370" s="483" t="s">
        <v>726</v>
      </c>
      <c r="E370" s="501">
        <f ca="1">IFERROR(E366*'B. Implementation Plan'!P43/52,0)</f>
        <v>0</v>
      </c>
      <c r="F370" s="501">
        <f ca="1">IFERROR(F366*'B. Implementation Plan'!P43/52,0)</f>
        <v>0</v>
      </c>
      <c r="G370" s="501">
        <f ca="1">IFERROR(G366*'B. Implementation Plan'!P43/52,0)</f>
        <v>0</v>
      </c>
      <c r="H370" s="501">
        <f ca="1">IFERROR(H366*'B. Implementation Plan'!P43/52,0)</f>
        <v>0</v>
      </c>
      <c r="I370" s="501">
        <f ca="1">IFERROR(I366*'B. Implementation Plan'!P43/52,0)</f>
        <v>0</v>
      </c>
      <c r="J370" s="501">
        <f ca="1">IFERROR(J366*'B. Implementation Plan'!P43/52,0)</f>
        <v>0</v>
      </c>
      <c r="K370" s="501">
        <f ca="1">IFERROR(K366*'B. Implementation Plan'!P43/52,0)</f>
        <v>0</v>
      </c>
      <c r="L370" s="501">
        <f ca="1">IFERROR(L366*'B. Implementation Plan'!P43/52,0)</f>
        <v>0</v>
      </c>
      <c r="M370" s="501">
        <f ca="1">IFERROR(M366*'B. Implementation Plan'!P43/52,0)</f>
        <v>0</v>
      </c>
      <c r="N370" s="501">
        <f ca="1">IFERROR(N366*'B. Implementation Plan'!P43/52,0)</f>
        <v>0</v>
      </c>
      <c r="O370" s="501">
        <f ca="1">IFERROR(O366*'B. Implementation Plan'!P43/52,0)</f>
        <v>0</v>
      </c>
      <c r="P370" s="467">
        <f t="shared" ref="P370:P372" ca="1" si="186">IF(O370=0,IF(N370=0,IF(M370=0,IF(L370=0,IF(K370=0,IF(J370=0,IF(I370=0,IF(H370=0,IF(G370=0,IF(F370=0,E370,F370),G370),H370),I370),J370),K370),L370),M370),N370),O370)</f>
        <v>0</v>
      </c>
    </row>
    <row r="371" spans="3:16" s="1" customFormat="1" hidden="1" outlineLevel="1" x14ac:dyDescent="0.3">
      <c r="C371" s="483" t="s">
        <v>727</v>
      </c>
      <c r="E371" s="501">
        <f ca="1">IFERROR(E367*'B. Implementation Plan'!P44/52,0)</f>
        <v>0</v>
      </c>
      <c r="F371" s="501">
        <f ca="1">IFERROR(F367*'B. Implementation Plan'!P44/52,0)</f>
        <v>0</v>
      </c>
      <c r="G371" s="501">
        <f ca="1">IFERROR(G367*'B. Implementation Plan'!P44/52,0)</f>
        <v>0</v>
      </c>
      <c r="H371" s="501">
        <f ca="1">IFERROR(H367*'B. Implementation Plan'!P44/52,0)</f>
        <v>0</v>
      </c>
      <c r="I371" s="501">
        <f ca="1">IFERROR(I367*'B. Implementation Plan'!P44/52,0)</f>
        <v>0</v>
      </c>
      <c r="J371" s="501">
        <f ca="1">IFERROR(J367*'B. Implementation Plan'!P44/52,0)</f>
        <v>0</v>
      </c>
      <c r="K371" s="501">
        <f ca="1">IFERROR(K367*'B. Implementation Plan'!P44/52,0)</f>
        <v>0</v>
      </c>
      <c r="L371" s="501">
        <f ca="1">IFERROR(L367*'B. Implementation Plan'!P44/52,0)</f>
        <v>0</v>
      </c>
      <c r="M371" s="501">
        <f ca="1">IFERROR(M367*'B. Implementation Plan'!P44/52,0)</f>
        <v>0</v>
      </c>
      <c r="N371" s="501">
        <f ca="1">IFERROR(N367*'B. Implementation Plan'!P44/52,0)</f>
        <v>0</v>
      </c>
      <c r="O371" s="501">
        <f ca="1">IFERROR(O367*'B. Implementation Plan'!P44/52,0)</f>
        <v>0</v>
      </c>
      <c r="P371" s="467">
        <f t="shared" ca="1" si="186"/>
        <v>0</v>
      </c>
    </row>
    <row r="372" spans="3:16" s="1" customFormat="1" hidden="1" outlineLevel="1" x14ac:dyDescent="0.3">
      <c r="C372" s="483" t="s">
        <v>728</v>
      </c>
      <c r="E372" s="501">
        <f ca="1">IFERROR(E368*'B. Implementation Plan'!P45/52,0)</f>
        <v>0</v>
      </c>
      <c r="F372" s="501">
        <f ca="1">IFERROR(F368*'B. Implementation Plan'!P45/52,0)</f>
        <v>0</v>
      </c>
      <c r="G372" s="501">
        <f ca="1">IFERROR(G368*'B. Implementation Plan'!P45/52,0)</f>
        <v>0</v>
      </c>
      <c r="H372" s="501">
        <f ca="1">IFERROR(H368*'B. Implementation Plan'!P45/52,0)</f>
        <v>0</v>
      </c>
      <c r="I372" s="501">
        <f ca="1">IFERROR(I368*'B. Implementation Plan'!P45/52,0)</f>
        <v>0</v>
      </c>
      <c r="J372" s="501">
        <f ca="1">IFERROR(J368*'B. Implementation Plan'!P45/52,0)</f>
        <v>0</v>
      </c>
      <c r="K372" s="501">
        <f ca="1">IFERROR(K368*'B. Implementation Plan'!P45/52,0)</f>
        <v>0</v>
      </c>
      <c r="L372" s="501">
        <f ca="1">IFERROR(L368*'B. Implementation Plan'!P45/52,0)</f>
        <v>0</v>
      </c>
      <c r="M372" s="501">
        <f ca="1">IFERROR(M368*'B. Implementation Plan'!P45/52,0)</f>
        <v>0</v>
      </c>
      <c r="N372" s="501">
        <f ca="1">IFERROR(N368*'B. Implementation Plan'!P45/52,0)</f>
        <v>0</v>
      </c>
      <c r="O372" s="501">
        <f ca="1">IFERROR(O368*'B. Implementation Plan'!P45/52,0)</f>
        <v>0</v>
      </c>
      <c r="P372" s="467">
        <f t="shared" ca="1" si="186"/>
        <v>0</v>
      </c>
    </row>
    <row r="373" spans="3:16" s="1" customFormat="1" collapsed="1" x14ac:dyDescent="0.3">
      <c r="C373" s="409" t="s">
        <v>741</v>
      </c>
      <c r="E373" s="472">
        <f ca="1">IFERROR(SUMPRODUCT(E366:E368,'B. Implementation Plan'!P43:P45)/52,0)</f>
        <v>0</v>
      </c>
      <c r="F373" s="472">
        <f ca="1">IFERROR(SUMPRODUCT(F366:F368,'B. Implementation Plan'!P43:P45)/52,0)</f>
        <v>0</v>
      </c>
      <c r="G373" s="472">
        <f ca="1">IFERROR(SUMPRODUCT(G366:G368,'B. Implementation Plan'!P43:P45)/52,0)</f>
        <v>0</v>
      </c>
      <c r="H373" s="472">
        <f ca="1">IFERROR(SUMPRODUCT(H366:H368,'B. Implementation Plan'!P43:P45)/52,0)</f>
        <v>0</v>
      </c>
      <c r="I373" s="472">
        <f ca="1">IFERROR(SUMPRODUCT(I366:I368,'B. Implementation Plan'!P43:P45)/52,0)</f>
        <v>0</v>
      </c>
      <c r="J373" s="472">
        <f ca="1">IFERROR(SUMPRODUCT(J366:J368,'B. Implementation Plan'!P43:P45)/52,0)</f>
        <v>0</v>
      </c>
      <c r="K373" s="472">
        <f ca="1">IFERROR(SUMPRODUCT(K366:K368,'B. Implementation Plan'!P43:P45)/52,0)</f>
        <v>0</v>
      </c>
      <c r="L373" s="472">
        <f ca="1">IFERROR(SUMPRODUCT(L366:L368,'B. Implementation Plan'!P43:P45)/52,0)</f>
        <v>0</v>
      </c>
      <c r="M373" s="472">
        <f ca="1">IFERROR(SUMPRODUCT(M366:M368,'B. Implementation Plan'!P43:P45)/52,0)</f>
        <v>0</v>
      </c>
      <c r="N373" s="472">
        <f ca="1">IFERROR(SUMPRODUCT(N366:N368,'B. Implementation Plan'!P43:P45)/52,0)</f>
        <v>0</v>
      </c>
      <c r="O373" s="472">
        <f ca="1">IFERROR(SUMPRODUCT(O366:O368,'B. Implementation Plan'!P43:P45)/52,0)</f>
        <v>0</v>
      </c>
      <c r="P373" s="474">
        <f ca="1">IF(O373=0,IF(N373=0,IF(M373=0,IF(L373=0,IF(K373=0,IF(J373=0,IF(I373=0,IF(H373=0,IF(G373=0,IF(F373=0,E373,F373),G373),H373),I373),J373),K373),L373),M373),N373),O373)</f>
        <v>0</v>
      </c>
    </row>
    <row r="374" spans="3:16" s="1" customFormat="1" hidden="1" outlineLevel="1" x14ac:dyDescent="0.3">
      <c r="C374" s="433" t="s">
        <v>657</v>
      </c>
      <c r="E374" s="465">
        <f ca="1">IFERROR('D. Annual Schedule Tables'!E696/(E369*E353),0)</f>
        <v>0</v>
      </c>
      <c r="F374" s="465">
        <f ca="1">IFERROR('D. Annual Schedule Tables'!F696/(F369*F353),0)</f>
        <v>0</v>
      </c>
      <c r="G374" s="465">
        <f ca="1">IFERROR('D. Annual Schedule Tables'!G696/(G369*G353),0)</f>
        <v>0</v>
      </c>
      <c r="H374" s="465">
        <f ca="1">IFERROR('D. Annual Schedule Tables'!H696/(H369*H353),0)</f>
        <v>0</v>
      </c>
      <c r="I374" s="465">
        <f ca="1">IFERROR('D. Annual Schedule Tables'!I696/(I369*I353),0)</f>
        <v>0</v>
      </c>
      <c r="J374" s="465">
        <f ca="1">IFERROR('D. Annual Schedule Tables'!J696/(J369*J353),0)</f>
        <v>0</v>
      </c>
      <c r="K374" s="465">
        <f ca="1">IFERROR('D. Annual Schedule Tables'!K696/(K369*K353),0)</f>
        <v>0</v>
      </c>
      <c r="L374" s="465">
        <f ca="1">IFERROR('D. Annual Schedule Tables'!L696/(L369*L353),0)</f>
        <v>0</v>
      </c>
      <c r="M374" s="465">
        <f ca="1">IFERROR('D. Annual Schedule Tables'!M696/(M369*M353),0)</f>
        <v>0</v>
      </c>
      <c r="N374" s="465">
        <f ca="1">IFERROR('D. Annual Schedule Tables'!N696/(N369*N353),0)</f>
        <v>0</v>
      </c>
      <c r="O374" s="465">
        <f ca="1">IFERROR('D. Annual Schedule Tables'!O696/(O369*O353),0)</f>
        <v>0</v>
      </c>
      <c r="P374" s="466">
        <f ca="1">IF(O374=0,IF(N374=0,IF(M374=0,IF(L374=0,IF(K374=0,IF(J374=0,IF(I374=0,IF(H374=0,IF(G374=0,IF(F374=0,E374,F374),G374),H374),I374),J374),K374),L374),M374),N374),O374)</f>
        <v>0</v>
      </c>
    </row>
    <row r="375" spans="3:16" s="1" customFormat="1" hidden="1" outlineLevel="1" x14ac:dyDescent="0.3">
      <c r="C375" s="483" t="s">
        <v>729</v>
      </c>
      <c r="E375" s="468">
        <f t="shared" ref="E375" ca="1" si="187">IFERROR(E374*E370,0)</f>
        <v>0</v>
      </c>
      <c r="F375" s="468">
        <f t="shared" ref="F375" ca="1" si="188">IFERROR(F374*F370,0)</f>
        <v>0</v>
      </c>
      <c r="G375" s="468">
        <f t="shared" ref="G375" ca="1" si="189">IFERROR(G374*G370,0)</f>
        <v>0</v>
      </c>
      <c r="H375" s="468">
        <f t="shared" ref="H375" ca="1" si="190">IFERROR(H374*H370,0)</f>
        <v>0</v>
      </c>
      <c r="I375" s="468">
        <f t="shared" ref="I375" ca="1" si="191">IFERROR(I374*I370,0)</f>
        <v>0</v>
      </c>
      <c r="J375" s="468">
        <f t="shared" ref="J375" ca="1" si="192">IFERROR(J374*J370,0)</f>
        <v>0</v>
      </c>
      <c r="K375" s="468">
        <f t="shared" ref="K375" ca="1" si="193">IFERROR(K374*K370,0)</f>
        <v>0</v>
      </c>
      <c r="L375" s="468">
        <f t="shared" ref="L375" ca="1" si="194">IFERROR(L374*L370,0)</f>
        <v>0</v>
      </c>
      <c r="M375" s="468">
        <f t="shared" ref="M375" ca="1" si="195">IFERROR(M374*M370,0)</f>
        <v>0</v>
      </c>
      <c r="N375" s="468">
        <f t="shared" ref="N375" ca="1" si="196">IFERROR(N374*N370,0)</f>
        <v>0</v>
      </c>
      <c r="O375" s="468">
        <f t="shared" ref="O375" ca="1" si="197">IFERROR(O374*O370,0)</f>
        <v>0</v>
      </c>
      <c r="P375" s="467">
        <f t="shared" ref="P375:P411" ca="1" si="198">IF(O375=0,IF(N375=0,IF(M375=0,IF(L375=0,IF(K375=0,IF(J375=0,IF(I375=0,IF(H375=0,IF(G375=0,IF(F375=0,E375,F375),G375),H375),I375),J375),K375),L375),M375),N375),O375)</f>
        <v>0</v>
      </c>
    </row>
    <row r="376" spans="3:16" s="1" customFormat="1" hidden="1" outlineLevel="1" x14ac:dyDescent="0.3">
      <c r="C376" s="483" t="s">
        <v>730</v>
      </c>
      <c r="E376" s="468">
        <f t="shared" ref="E376:O376" ca="1" si="199">IFERROR(E374*E371,0)</f>
        <v>0</v>
      </c>
      <c r="F376" s="468">
        <f t="shared" ca="1" si="199"/>
        <v>0</v>
      </c>
      <c r="G376" s="468">
        <f t="shared" ca="1" si="199"/>
        <v>0</v>
      </c>
      <c r="H376" s="468">
        <f t="shared" ca="1" si="199"/>
        <v>0</v>
      </c>
      <c r="I376" s="468">
        <f t="shared" ca="1" si="199"/>
        <v>0</v>
      </c>
      <c r="J376" s="468">
        <f t="shared" ca="1" si="199"/>
        <v>0</v>
      </c>
      <c r="K376" s="468">
        <f t="shared" ca="1" si="199"/>
        <v>0</v>
      </c>
      <c r="L376" s="468">
        <f t="shared" ca="1" si="199"/>
        <v>0</v>
      </c>
      <c r="M376" s="468">
        <f t="shared" ca="1" si="199"/>
        <v>0</v>
      </c>
      <c r="N376" s="468">
        <f t="shared" ca="1" si="199"/>
        <v>0</v>
      </c>
      <c r="O376" s="468">
        <f t="shared" ca="1" si="199"/>
        <v>0</v>
      </c>
      <c r="P376" s="467">
        <f t="shared" ca="1" si="198"/>
        <v>0</v>
      </c>
    </row>
    <row r="377" spans="3:16" s="1" customFormat="1" hidden="1" outlineLevel="1" x14ac:dyDescent="0.3">
      <c r="C377" s="483" t="s">
        <v>731</v>
      </c>
      <c r="E377" s="468">
        <f t="shared" ref="E377:O377" ca="1" si="200">IFERROR(E374*E372,0)</f>
        <v>0</v>
      </c>
      <c r="F377" s="468">
        <f t="shared" ca="1" si="200"/>
        <v>0</v>
      </c>
      <c r="G377" s="468">
        <f t="shared" ca="1" si="200"/>
        <v>0</v>
      </c>
      <c r="H377" s="468">
        <f t="shared" ca="1" si="200"/>
        <v>0</v>
      </c>
      <c r="I377" s="468">
        <f t="shared" ca="1" si="200"/>
        <v>0</v>
      </c>
      <c r="J377" s="468">
        <f t="shared" ca="1" si="200"/>
        <v>0</v>
      </c>
      <c r="K377" s="468">
        <f t="shared" ca="1" si="200"/>
        <v>0</v>
      </c>
      <c r="L377" s="468">
        <f t="shared" ca="1" si="200"/>
        <v>0</v>
      </c>
      <c r="M377" s="468">
        <f t="shared" ca="1" si="200"/>
        <v>0</v>
      </c>
      <c r="N377" s="468">
        <f t="shared" ca="1" si="200"/>
        <v>0</v>
      </c>
      <c r="O377" s="468">
        <f t="shared" ca="1" si="200"/>
        <v>0</v>
      </c>
      <c r="P377" s="467">
        <f t="shared" ca="1" si="198"/>
        <v>0</v>
      </c>
    </row>
    <row r="378" spans="3:16" collapsed="1" x14ac:dyDescent="0.3">
      <c r="C378" s="433" t="s">
        <v>656</v>
      </c>
      <c r="E378" s="468">
        <f t="shared" ref="E378:O378" ca="1" si="201">IFERROR(E374*E373,0)</f>
        <v>0</v>
      </c>
      <c r="F378" s="468">
        <f t="shared" ca="1" si="201"/>
        <v>0</v>
      </c>
      <c r="G378" s="468">
        <f t="shared" ca="1" si="201"/>
        <v>0</v>
      </c>
      <c r="H378" s="468">
        <f t="shared" ca="1" si="201"/>
        <v>0</v>
      </c>
      <c r="I378" s="468">
        <f t="shared" ca="1" si="201"/>
        <v>0</v>
      </c>
      <c r="J378" s="468">
        <f t="shared" ca="1" si="201"/>
        <v>0</v>
      </c>
      <c r="K378" s="468">
        <f t="shared" ca="1" si="201"/>
        <v>0</v>
      </c>
      <c r="L378" s="468">
        <f t="shared" ca="1" si="201"/>
        <v>0</v>
      </c>
      <c r="M378" s="468">
        <f t="shared" ca="1" si="201"/>
        <v>0</v>
      </c>
      <c r="N378" s="468">
        <f t="shared" ca="1" si="201"/>
        <v>0</v>
      </c>
      <c r="O378" s="471">
        <f t="shared" ca="1" si="201"/>
        <v>0</v>
      </c>
      <c r="P378" s="467">
        <f t="shared" ca="1" si="198"/>
        <v>0</v>
      </c>
    </row>
    <row r="379" spans="3:16" hidden="1" outlineLevel="1" x14ac:dyDescent="0.3">
      <c r="C379" s="433" t="s">
        <v>880</v>
      </c>
      <c r="E379" s="378">
        <f ca="1">IFERROR('D. Annual Schedule Tables'!E697/(E369*E353),0)</f>
        <v>0</v>
      </c>
      <c r="F379" s="378">
        <f ca="1">IFERROR('D. Annual Schedule Tables'!F697/(F369*F353),0)</f>
        <v>0</v>
      </c>
      <c r="G379" s="378">
        <f ca="1">IFERROR('D. Annual Schedule Tables'!G697/(G369*G353),0)</f>
        <v>0</v>
      </c>
      <c r="H379" s="378">
        <f ca="1">IFERROR('D. Annual Schedule Tables'!H697/(H369*H353),0)</f>
        <v>0</v>
      </c>
      <c r="I379" s="378">
        <f ca="1">IFERROR('D. Annual Schedule Tables'!I697/(I369*I353),0)</f>
        <v>0</v>
      </c>
      <c r="J379" s="378">
        <f ca="1">IFERROR('D. Annual Schedule Tables'!J697/(J369*J353),0)</f>
        <v>0</v>
      </c>
      <c r="K379" s="378">
        <f ca="1">IFERROR('D. Annual Schedule Tables'!K697/(K369*K353),0)</f>
        <v>0</v>
      </c>
      <c r="L379" s="378">
        <f ca="1">IFERROR('D. Annual Schedule Tables'!L697/(L369*L353),0)</f>
        <v>0</v>
      </c>
      <c r="M379" s="378">
        <f ca="1">IFERROR('D. Annual Schedule Tables'!M697/(M369*M353),0)</f>
        <v>0</v>
      </c>
      <c r="N379" s="378">
        <f ca="1">IFERROR('D. Annual Schedule Tables'!N697/(N369*N353),0)</f>
        <v>0</v>
      </c>
      <c r="O379" s="378">
        <f ca="1">IFERROR('D. Annual Schedule Tables'!O697/(O369*O353),0)</f>
        <v>0</v>
      </c>
      <c r="P379" s="466">
        <f ca="1">IF(O379=0,IF(N379=0,IF(M379=0,IF(L379=0,IF(K379=0,IF(J379=0,IF(I379=0,IF(H379=0,IF(G379=0,IF(F379=0,E379,F379),G379),H379),I379),J379),K379),L379),M379),N379),O379)</f>
        <v>0</v>
      </c>
    </row>
    <row r="380" spans="3:16" hidden="1" outlineLevel="1" x14ac:dyDescent="0.3">
      <c r="C380" s="483" t="s">
        <v>881</v>
      </c>
      <c r="E380" s="468">
        <f ca="1">IFERROR(E379*E370,0)</f>
        <v>0</v>
      </c>
      <c r="F380" s="468">
        <f t="shared" ref="F380" ca="1" si="202">IFERROR(F379*F370,0)</f>
        <v>0</v>
      </c>
      <c r="G380" s="468">
        <f t="shared" ref="G380" ca="1" si="203">IFERROR(G379*G370,0)</f>
        <v>0</v>
      </c>
      <c r="H380" s="468">
        <f t="shared" ref="H380" ca="1" si="204">IFERROR(H379*H370,0)</f>
        <v>0</v>
      </c>
      <c r="I380" s="468">
        <f t="shared" ref="I380" ca="1" si="205">IFERROR(I379*I370,0)</f>
        <v>0</v>
      </c>
      <c r="J380" s="468">
        <f t="shared" ref="J380" ca="1" si="206">IFERROR(J379*J370,0)</f>
        <v>0</v>
      </c>
      <c r="K380" s="468">
        <f t="shared" ref="K380" ca="1" si="207">IFERROR(K379*K370,0)</f>
        <v>0</v>
      </c>
      <c r="L380" s="468">
        <f t="shared" ref="L380" ca="1" si="208">IFERROR(L379*L370,0)</f>
        <v>0</v>
      </c>
      <c r="M380" s="468">
        <f t="shared" ref="M380" ca="1" si="209">IFERROR(M379*M370,0)</f>
        <v>0</v>
      </c>
      <c r="N380" s="468">
        <f t="shared" ref="N380" ca="1" si="210">IFERROR(N379*N370,0)</f>
        <v>0</v>
      </c>
      <c r="O380" s="468">
        <f t="shared" ref="O380" ca="1" si="211">IFERROR(O379*O370,0)</f>
        <v>0</v>
      </c>
      <c r="P380" s="467">
        <f t="shared" ref="P380:P383" ca="1" si="212">IF(O380=0,IF(N380=0,IF(M380=0,IF(L380=0,IF(K380=0,IF(J380=0,IF(I380=0,IF(H380=0,IF(G380=0,IF(F380=0,E380,F380),G380),H380),I380),J380),K380),L380),M380),N380),O380)</f>
        <v>0</v>
      </c>
    </row>
    <row r="381" spans="3:16" hidden="1" outlineLevel="1" x14ac:dyDescent="0.3">
      <c r="C381" s="483" t="s">
        <v>882</v>
      </c>
      <c r="E381" s="468">
        <f ca="1">IFERROR(E379*E371,0)</f>
        <v>0</v>
      </c>
      <c r="F381" s="468">
        <f t="shared" ref="F381:O381" ca="1" si="213">IFERROR(F379*F371,0)</f>
        <v>0</v>
      </c>
      <c r="G381" s="468">
        <f t="shared" ca="1" si="213"/>
        <v>0</v>
      </c>
      <c r="H381" s="468">
        <f t="shared" ca="1" si="213"/>
        <v>0</v>
      </c>
      <c r="I381" s="468">
        <f t="shared" ca="1" si="213"/>
        <v>0</v>
      </c>
      <c r="J381" s="468">
        <f t="shared" ca="1" si="213"/>
        <v>0</v>
      </c>
      <c r="K381" s="468">
        <f t="shared" ca="1" si="213"/>
        <v>0</v>
      </c>
      <c r="L381" s="468">
        <f t="shared" ca="1" si="213"/>
        <v>0</v>
      </c>
      <c r="M381" s="468">
        <f t="shared" ca="1" si="213"/>
        <v>0</v>
      </c>
      <c r="N381" s="468">
        <f t="shared" ca="1" si="213"/>
        <v>0</v>
      </c>
      <c r="O381" s="468">
        <f t="shared" ca="1" si="213"/>
        <v>0</v>
      </c>
      <c r="P381" s="467">
        <f t="shared" ca="1" si="212"/>
        <v>0</v>
      </c>
    </row>
    <row r="382" spans="3:16" hidden="1" outlineLevel="1" x14ac:dyDescent="0.3">
      <c r="C382" s="483" t="s">
        <v>883</v>
      </c>
      <c r="E382" s="468">
        <f ca="1">IFERROR(E379*E372,0)</f>
        <v>0</v>
      </c>
      <c r="F382" s="468">
        <f t="shared" ref="F382:O382" ca="1" si="214">IFERROR(F379*F372,0)</f>
        <v>0</v>
      </c>
      <c r="G382" s="468">
        <f t="shared" ca="1" si="214"/>
        <v>0</v>
      </c>
      <c r="H382" s="468">
        <f t="shared" ca="1" si="214"/>
        <v>0</v>
      </c>
      <c r="I382" s="468">
        <f t="shared" ca="1" si="214"/>
        <v>0</v>
      </c>
      <c r="J382" s="468">
        <f t="shared" ca="1" si="214"/>
        <v>0</v>
      </c>
      <c r="K382" s="468">
        <f t="shared" ca="1" si="214"/>
        <v>0</v>
      </c>
      <c r="L382" s="468">
        <f t="shared" ca="1" si="214"/>
        <v>0</v>
      </c>
      <c r="M382" s="468">
        <f t="shared" ca="1" si="214"/>
        <v>0</v>
      </c>
      <c r="N382" s="468">
        <f t="shared" ca="1" si="214"/>
        <v>0</v>
      </c>
      <c r="O382" s="468">
        <f t="shared" ca="1" si="214"/>
        <v>0</v>
      </c>
      <c r="P382" s="467">
        <f t="shared" ca="1" si="212"/>
        <v>0</v>
      </c>
    </row>
    <row r="383" spans="3:16" collapsed="1" x14ac:dyDescent="0.3">
      <c r="C383" s="433" t="s">
        <v>884</v>
      </c>
      <c r="E383" s="468">
        <f ca="1">IFERROR(E379*E373,0)</f>
        <v>0</v>
      </c>
      <c r="F383" s="468">
        <f t="shared" ref="F383:O383" ca="1" si="215">IFERROR(F379*F373,0)</f>
        <v>0</v>
      </c>
      <c r="G383" s="468">
        <f t="shared" ca="1" si="215"/>
        <v>0</v>
      </c>
      <c r="H383" s="468">
        <f t="shared" ca="1" si="215"/>
        <v>0</v>
      </c>
      <c r="I383" s="468">
        <f t="shared" ca="1" si="215"/>
        <v>0</v>
      </c>
      <c r="J383" s="468">
        <f t="shared" ca="1" si="215"/>
        <v>0</v>
      </c>
      <c r="K383" s="468">
        <f t="shared" ca="1" si="215"/>
        <v>0</v>
      </c>
      <c r="L383" s="468">
        <f t="shared" ca="1" si="215"/>
        <v>0</v>
      </c>
      <c r="M383" s="468">
        <f t="shared" ca="1" si="215"/>
        <v>0</v>
      </c>
      <c r="N383" s="468">
        <f t="shared" ca="1" si="215"/>
        <v>0</v>
      </c>
      <c r="O383" s="468">
        <f t="shared" ca="1" si="215"/>
        <v>0</v>
      </c>
      <c r="P383" s="467">
        <f t="shared" ca="1" si="212"/>
        <v>0</v>
      </c>
    </row>
    <row r="384" spans="3:16" hidden="1" outlineLevel="1" x14ac:dyDescent="0.3">
      <c r="C384" s="433" t="s">
        <v>897</v>
      </c>
      <c r="E384" s="378">
        <f ca="1">IFERROR((1-E374-E379),0)</f>
        <v>1</v>
      </c>
      <c r="F384" s="378">
        <f t="shared" ref="F384:O384" ca="1" si="216">IFERROR((1-F374-F379),0)</f>
        <v>1</v>
      </c>
      <c r="G384" s="378">
        <f t="shared" ca="1" si="216"/>
        <v>1</v>
      </c>
      <c r="H384" s="378">
        <f t="shared" ca="1" si="216"/>
        <v>1</v>
      </c>
      <c r="I384" s="378">
        <f t="shared" ca="1" si="216"/>
        <v>1</v>
      </c>
      <c r="J384" s="378">
        <f t="shared" ca="1" si="216"/>
        <v>1</v>
      </c>
      <c r="K384" s="378">
        <f t="shared" ca="1" si="216"/>
        <v>1</v>
      </c>
      <c r="L384" s="378">
        <f t="shared" ca="1" si="216"/>
        <v>1</v>
      </c>
      <c r="M384" s="378">
        <f t="shared" ca="1" si="216"/>
        <v>1</v>
      </c>
      <c r="N384" s="378">
        <f t="shared" ca="1" si="216"/>
        <v>1</v>
      </c>
      <c r="O384" s="378">
        <f t="shared" ca="1" si="216"/>
        <v>1</v>
      </c>
      <c r="P384" s="466">
        <f ca="1">IF(O384=0,IF(N384=0,IF(M384=0,IF(L384=0,IF(K384=0,IF(J384=0,IF(I384=0,IF(H384=0,IF(G384=0,IF(F384=0,E384,F384),G384),H384),I384),J384),K384),L384),M384),N384),O384)</f>
        <v>1</v>
      </c>
    </row>
    <row r="385" spans="3:16" hidden="1" outlineLevel="1" x14ac:dyDescent="0.3">
      <c r="C385" s="483" t="s">
        <v>898</v>
      </c>
      <c r="E385" s="468">
        <f ca="1">IFERROR(E384*E370,0)</f>
        <v>0</v>
      </c>
      <c r="F385" s="468">
        <f t="shared" ref="F385" ca="1" si="217">IFERROR(F384*F370,0)</f>
        <v>0</v>
      </c>
      <c r="G385" s="468">
        <f t="shared" ref="G385" ca="1" si="218">IFERROR(G384*G370,0)</f>
        <v>0</v>
      </c>
      <c r="H385" s="468">
        <f t="shared" ref="H385" ca="1" si="219">IFERROR(H384*H370,0)</f>
        <v>0</v>
      </c>
      <c r="I385" s="468">
        <f t="shared" ref="I385" ca="1" si="220">IFERROR(I384*I370,0)</f>
        <v>0</v>
      </c>
      <c r="J385" s="468">
        <f t="shared" ref="J385" ca="1" si="221">IFERROR(J384*J370,0)</f>
        <v>0</v>
      </c>
      <c r="K385" s="468">
        <f t="shared" ref="K385" ca="1" si="222">IFERROR(K384*K370,0)</f>
        <v>0</v>
      </c>
      <c r="L385" s="468">
        <f t="shared" ref="L385" ca="1" si="223">IFERROR(L384*L370,0)</f>
        <v>0</v>
      </c>
      <c r="M385" s="468">
        <f t="shared" ref="M385" ca="1" si="224">IFERROR(M384*M370,0)</f>
        <v>0</v>
      </c>
      <c r="N385" s="468">
        <f t="shared" ref="N385" ca="1" si="225">IFERROR(N384*N370,0)</f>
        <v>0</v>
      </c>
      <c r="O385" s="468">
        <f t="shared" ref="O385" ca="1" si="226">IFERROR(O384*O370,0)</f>
        <v>0</v>
      </c>
      <c r="P385" s="467">
        <f t="shared" ref="P385:P388" ca="1" si="227">IF(O385=0,IF(N385=0,IF(M385=0,IF(L385=0,IF(K385=0,IF(J385=0,IF(I385=0,IF(H385=0,IF(G385=0,IF(F385=0,E385,F385),G385),H385),I385),J385),K385),L385),M385),N385),O385)</f>
        <v>0</v>
      </c>
    </row>
    <row r="386" spans="3:16" hidden="1" outlineLevel="1" x14ac:dyDescent="0.3">
      <c r="C386" s="483" t="s">
        <v>899</v>
      </c>
      <c r="E386" s="468">
        <f ca="1">IFERROR(E384*E371,0)</f>
        <v>0</v>
      </c>
      <c r="F386" s="468">
        <f t="shared" ref="F386:O386" ca="1" si="228">IFERROR(F384*F371,0)</f>
        <v>0</v>
      </c>
      <c r="G386" s="468">
        <f t="shared" ca="1" si="228"/>
        <v>0</v>
      </c>
      <c r="H386" s="468">
        <f t="shared" ca="1" si="228"/>
        <v>0</v>
      </c>
      <c r="I386" s="468">
        <f t="shared" ca="1" si="228"/>
        <v>0</v>
      </c>
      <c r="J386" s="468">
        <f t="shared" ca="1" si="228"/>
        <v>0</v>
      </c>
      <c r="K386" s="468">
        <f t="shared" ca="1" si="228"/>
        <v>0</v>
      </c>
      <c r="L386" s="468">
        <f t="shared" ca="1" si="228"/>
        <v>0</v>
      </c>
      <c r="M386" s="468">
        <f t="shared" ca="1" si="228"/>
        <v>0</v>
      </c>
      <c r="N386" s="468">
        <f t="shared" ca="1" si="228"/>
        <v>0</v>
      </c>
      <c r="O386" s="468">
        <f t="shared" ca="1" si="228"/>
        <v>0</v>
      </c>
      <c r="P386" s="467">
        <f t="shared" ca="1" si="227"/>
        <v>0</v>
      </c>
    </row>
    <row r="387" spans="3:16" hidden="1" outlineLevel="1" x14ac:dyDescent="0.3">
      <c r="C387" s="483" t="s">
        <v>900</v>
      </c>
      <c r="E387" s="468">
        <f ca="1">IFERROR(E384*E372,0)</f>
        <v>0</v>
      </c>
      <c r="F387" s="468">
        <f t="shared" ref="F387:O387" ca="1" si="229">IFERROR(F384*F372,0)</f>
        <v>0</v>
      </c>
      <c r="G387" s="468">
        <f t="shared" ca="1" si="229"/>
        <v>0</v>
      </c>
      <c r="H387" s="468">
        <f t="shared" ca="1" si="229"/>
        <v>0</v>
      </c>
      <c r="I387" s="468">
        <f t="shared" ca="1" si="229"/>
        <v>0</v>
      </c>
      <c r="J387" s="468">
        <f t="shared" ca="1" si="229"/>
        <v>0</v>
      </c>
      <c r="K387" s="468">
        <f t="shared" ca="1" si="229"/>
        <v>0</v>
      </c>
      <c r="L387" s="468">
        <f t="shared" ca="1" si="229"/>
        <v>0</v>
      </c>
      <c r="M387" s="468">
        <f t="shared" ca="1" si="229"/>
        <v>0</v>
      </c>
      <c r="N387" s="468">
        <f t="shared" ca="1" si="229"/>
        <v>0</v>
      </c>
      <c r="O387" s="468">
        <f t="shared" ca="1" si="229"/>
        <v>0</v>
      </c>
      <c r="P387" s="467">
        <f t="shared" ca="1" si="227"/>
        <v>0</v>
      </c>
    </row>
    <row r="388" spans="3:16" collapsed="1" x14ac:dyDescent="0.3">
      <c r="C388" s="433" t="s">
        <v>896</v>
      </c>
      <c r="E388" s="468">
        <f t="shared" ref="E388:O388" ca="1" si="230">IFERROR(E384*E373,0)</f>
        <v>0</v>
      </c>
      <c r="F388" s="468">
        <f t="shared" ca="1" si="230"/>
        <v>0</v>
      </c>
      <c r="G388" s="468">
        <f t="shared" ca="1" si="230"/>
        <v>0</v>
      </c>
      <c r="H388" s="468">
        <f t="shared" ca="1" si="230"/>
        <v>0</v>
      </c>
      <c r="I388" s="468">
        <f t="shared" ca="1" si="230"/>
        <v>0</v>
      </c>
      <c r="J388" s="468">
        <f t="shared" ca="1" si="230"/>
        <v>0</v>
      </c>
      <c r="K388" s="468">
        <f t="shared" ca="1" si="230"/>
        <v>0</v>
      </c>
      <c r="L388" s="468">
        <f t="shared" ca="1" si="230"/>
        <v>0</v>
      </c>
      <c r="M388" s="468">
        <f t="shared" ca="1" si="230"/>
        <v>0</v>
      </c>
      <c r="N388" s="468">
        <f t="shared" ca="1" si="230"/>
        <v>0</v>
      </c>
      <c r="O388" s="468">
        <f t="shared" ca="1" si="230"/>
        <v>0</v>
      </c>
      <c r="P388" s="467">
        <f t="shared" ca="1" si="227"/>
        <v>0</v>
      </c>
    </row>
    <row r="389" spans="3:16" s="1" customFormat="1" hidden="1" outlineLevel="1" x14ac:dyDescent="0.3">
      <c r="C389" s="433" t="s">
        <v>653</v>
      </c>
      <c r="E389" s="465">
        <f ca="1">IFERROR('D. Annual Schedule Tables'!E707/(E369*E353),0)</f>
        <v>0</v>
      </c>
      <c r="F389" s="465">
        <f ca="1">IFERROR('D. Annual Schedule Tables'!F707/(F369*F353),0)</f>
        <v>0</v>
      </c>
      <c r="G389" s="465">
        <f ca="1">IFERROR('D. Annual Schedule Tables'!G707/(G369*G353),0)</f>
        <v>0</v>
      </c>
      <c r="H389" s="465">
        <f ca="1">IFERROR('D. Annual Schedule Tables'!H707/(H369*H353),0)</f>
        <v>0</v>
      </c>
      <c r="I389" s="465">
        <f ca="1">IFERROR('D. Annual Schedule Tables'!I707/(I369*I353),0)</f>
        <v>0</v>
      </c>
      <c r="J389" s="465">
        <f ca="1">IFERROR('D. Annual Schedule Tables'!J707/(J369*J353),0)</f>
        <v>0</v>
      </c>
      <c r="K389" s="465">
        <f ca="1">IFERROR('D. Annual Schedule Tables'!K707/(K369*K353),0)</f>
        <v>0</v>
      </c>
      <c r="L389" s="465">
        <f ca="1">IFERROR('D. Annual Schedule Tables'!L707/(L369*L353),0)</f>
        <v>0</v>
      </c>
      <c r="M389" s="465">
        <f ca="1">IFERROR('D. Annual Schedule Tables'!M707/(M369*M353),0)</f>
        <v>0</v>
      </c>
      <c r="N389" s="465">
        <f ca="1">IFERROR('D. Annual Schedule Tables'!N707/(N369*N353),0)</f>
        <v>0</v>
      </c>
      <c r="O389" s="465">
        <f ca="1">IFERROR('D. Annual Schedule Tables'!O707/(O369*O353),0)</f>
        <v>0</v>
      </c>
      <c r="P389" s="466">
        <f t="shared" ca="1" si="198"/>
        <v>0</v>
      </c>
    </row>
    <row r="390" spans="3:16" hidden="1" outlineLevel="1" x14ac:dyDescent="0.3">
      <c r="C390" s="483" t="s">
        <v>732</v>
      </c>
      <c r="E390" s="502">
        <f t="shared" ref="E390" ca="1" si="231">IFERROR(E389*E370,0)</f>
        <v>0</v>
      </c>
      <c r="F390" s="502">
        <f t="shared" ref="F390" ca="1" si="232">IFERROR(F389*F370,0)</f>
        <v>0</v>
      </c>
      <c r="G390" s="502">
        <f t="shared" ref="G390" ca="1" si="233">IFERROR(G389*G370,0)</f>
        <v>0</v>
      </c>
      <c r="H390" s="502">
        <f t="shared" ref="H390" ca="1" si="234">IFERROR(H389*H370,0)</f>
        <v>0</v>
      </c>
      <c r="I390" s="502">
        <f t="shared" ref="I390" ca="1" si="235">IFERROR(I389*I370,0)</f>
        <v>0</v>
      </c>
      <c r="J390" s="502">
        <f t="shared" ref="J390" ca="1" si="236">IFERROR(J389*J370,0)</f>
        <v>0</v>
      </c>
      <c r="K390" s="502">
        <f t="shared" ref="K390" ca="1" si="237">IFERROR(K389*K370,0)</f>
        <v>0</v>
      </c>
      <c r="L390" s="502">
        <f t="shared" ref="L390" ca="1" si="238">IFERROR(L389*L370,0)</f>
        <v>0</v>
      </c>
      <c r="M390" s="502">
        <f t="shared" ref="M390" ca="1" si="239">IFERROR(M389*M370,0)</f>
        <v>0</v>
      </c>
      <c r="N390" s="502">
        <f t="shared" ref="N390" ca="1" si="240">IFERROR(N389*N370,0)</f>
        <v>0</v>
      </c>
      <c r="O390" s="502">
        <f t="shared" ref="O390" ca="1" si="241">IFERROR(O389*O370,0)</f>
        <v>0</v>
      </c>
      <c r="P390" s="467">
        <f t="shared" ca="1" si="198"/>
        <v>0</v>
      </c>
    </row>
    <row r="391" spans="3:16" hidden="1" outlineLevel="1" x14ac:dyDescent="0.3">
      <c r="C391" s="483" t="s">
        <v>733</v>
      </c>
      <c r="E391" s="502">
        <f t="shared" ref="E391:O391" ca="1" si="242">IFERROR(E389*E371,0)</f>
        <v>0</v>
      </c>
      <c r="F391" s="502">
        <f t="shared" ca="1" si="242"/>
        <v>0</v>
      </c>
      <c r="G391" s="502">
        <f t="shared" ca="1" si="242"/>
        <v>0</v>
      </c>
      <c r="H391" s="502">
        <f t="shared" ca="1" si="242"/>
        <v>0</v>
      </c>
      <c r="I391" s="502">
        <f t="shared" ca="1" si="242"/>
        <v>0</v>
      </c>
      <c r="J391" s="502">
        <f t="shared" ca="1" si="242"/>
        <v>0</v>
      </c>
      <c r="K391" s="502">
        <f t="shared" ca="1" si="242"/>
        <v>0</v>
      </c>
      <c r="L391" s="502">
        <f t="shared" ca="1" si="242"/>
        <v>0</v>
      </c>
      <c r="M391" s="502">
        <f t="shared" ca="1" si="242"/>
        <v>0</v>
      </c>
      <c r="N391" s="502">
        <f t="shared" ca="1" si="242"/>
        <v>0</v>
      </c>
      <c r="O391" s="502">
        <f t="shared" ca="1" si="242"/>
        <v>0</v>
      </c>
      <c r="P391" s="467">
        <f t="shared" ca="1" si="198"/>
        <v>0</v>
      </c>
    </row>
    <row r="392" spans="3:16" hidden="1" outlineLevel="1" x14ac:dyDescent="0.3">
      <c r="C392" s="483" t="s">
        <v>734</v>
      </c>
      <c r="E392" s="502">
        <f t="shared" ref="E392:O392" ca="1" si="243">IFERROR(E389*E372,0)</f>
        <v>0</v>
      </c>
      <c r="F392" s="502">
        <f t="shared" ca="1" si="243"/>
        <v>0</v>
      </c>
      <c r="G392" s="502">
        <f t="shared" ca="1" si="243"/>
        <v>0</v>
      </c>
      <c r="H392" s="502">
        <f t="shared" ca="1" si="243"/>
        <v>0</v>
      </c>
      <c r="I392" s="502">
        <f t="shared" ca="1" si="243"/>
        <v>0</v>
      </c>
      <c r="J392" s="502">
        <f t="shared" ca="1" si="243"/>
        <v>0</v>
      </c>
      <c r="K392" s="502">
        <f t="shared" ca="1" si="243"/>
        <v>0</v>
      </c>
      <c r="L392" s="502">
        <f t="shared" ca="1" si="243"/>
        <v>0</v>
      </c>
      <c r="M392" s="502">
        <f t="shared" ca="1" si="243"/>
        <v>0</v>
      </c>
      <c r="N392" s="502">
        <f t="shared" ca="1" si="243"/>
        <v>0</v>
      </c>
      <c r="O392" s="502">
        <f t="shared" ca="1" si="243"/>
        <v>0</v>
      </c>
      <c r="P392" s="467">
        <f t="shared" ca="1" si="198"/>
        <v>0</v>
      </c>
    </row>
    <row r="393" spans="3:16" collapsed="1" x14ac:dyDescent="0.3">
      <c r="C393" s="433" t="s">
        <v>655</v>
      </c>
      <c r="E393" s="468">
        <f t="shared" ref="E393:O393" ca="1" si="244">IFERROR(E389*E373,0)</f>
        <v>0</v>
      </c>
      <c r="F393" s="468">
        <f t="shared" ca="1" si="244"/>
        <v>0</v>
      </c>
      <c r="G393" s="468">
        <f t="shared" ca="1" si="244"/>
        <v>0</v>
      </c>
      <c r="H393" s="468">
        <f t="shared" ca="1" si="244"/>
        <v>0</v>
      </c>
      <c r="I393" s="468">
        <f t="shared" ca="1" si="244"/>
        <v>0</v>
      </c>
      <c r="J393" s="468">
        <f t="shared" ca="1" si="244"/>
        <v>0</v>
      </c>
      <c r="K393" s="468">
        <f t="shared" ca="1" si="244"/>
        <v>0</v>
      </c>
      <c r="L393" s="468">
        <f t="shared" ca="1" si="244"/>
        <v>0</v>
      </c>
      <c r="M393" s="468">
        <f t="shared" ca="1" si="244"/>
        <v>0</v>
      </c>
      <c r="N393" s="468">
        <f t="shared" ca="1" si="244"/>
        <v>0</v>
      </c>
      <c r="O393" s="471">
        <f t="shared" ca="1" si="244"/>
        <v>0</v>
      </c>
      <c r="P393" s="467">
        <f t="shared" ca="1" si="198"/>
        <v>0</v>
      </c>
    </row>
    <row r="394" spans="3:16" s="1" customFormat="1" hidden="1" outlineLevel="1" x14ac:dyDescent="0.3">
      <c r="C394" s="432" t="s">
        <v>675</v>
      </c>
      <c r="E394" s="507">
        <f ca="1">IFERROR('D. Annual Schedule Tables'!E123/E353,0)</f>
        <v>0</v>
      </c>
      <c r="F394" s="507">
        <f ca="1">IFERROR('D. Annual Schedule Tables'!F123/F353,0)</f>
        <v>0</v>
      </c>
      <c r="G394" s="507">
        <f ca="1">IFERROR('D. Annual Schedule Tables'!G123/G353,0)</f>
        <v>0</v>
      </c>
      <c r="H394" s="507">
        <f ca="1">IFERROR('D. Annual Schedule Tables'!H123/H353,0)</f>
        <v>0</v>
      </c>
      <c r="I394" s="507">
        <f ca="1">IFERROR('D. Annual Schedule Tables'!I123/I353,0)</f>
        <v>0</v>
      </c>
      <c r="J394" s="507">
        <f ca="1">IFERROR('D. Annual Schedule Tables'!J123/J353,0)</f>
        <v>0</v>
      </c>
      <c r="K394" s="507">
        <f ca="1">IFERROR('D. Annual Schedule Tables'!K123/K353,0)</f>
        <v>0</v>
      </c>
      <c r="L394" s="507">
        <f ca="1">IFERROR('D. Annual Schedule Tables'!L123/L353,0)</f>
        <v>0</v>
      </c>
      <c r="M394" s="507">
        <f ca="1">IFERROR('D. Annual Schedule Tables'!M123/M353,0)</f>
        <v>0</v>
      </c>
      <c r="N394" s="507">
        <f ca="1">IFERROR('D. Annual Schedule Tables'!N123/N353,0)</f>
        <v>0</v>
      </c>
      <c r="O394" s="507">
        <f ca="1">IFERROR('D. Annual Schedule Tables'!O123/O353,0)</f>
        <v>0</v>
      </c>
      <c r="P394" s="467">
        <f t="shared" ca="1" si="198"/>
        <v>0</v>
      </c>
    </row>
    <row r="395" spans="3:16" s="1" customFormat="1" hidden="1" outlineLevel="1" x14ac:dyDescent="0.3">
      <c r="C395" s="432" t="s">
        <v>676</v>
      </c>
      <c r="E395" s="507">
        <f ca="1">IFERROR('D. Annual Schedule Tables'!E124/E353,0)</f>
        <v>0</v>
      </c>
      <c r="F395" s="507">
        <f ca="1">IFERROR('D. Annual Schedule Tables'!F124/F353,0)</f>
        <v>0</v>
      </c>
      <c r="G395" s="507">
        <f ca="1">IFERROR('D. Annual Schedule Tables'!G124/G353,0)</f>
        <v>0</v>
      </c>
      <c r="H395" s="507">
        <f ca="1">IFERROR('D. Annual Schedule Tables'!H124/H353,0)</f>
        <v>0</v>
      </c>
      <c r="I395" s="507">
        <f ca="1">IFERROR('D. Annual Schedule Tables'!I124/I353,0)</f>
        <v>0</v>
      </c>
      <c r="J395" s="507">
        <f ca="1">IFERROR('D. Annual Schedule Tables'!J124/J353,0)</f>
        <v>0</v>
      </c>
      <c r="K395" s="507">
        <f ca="1">IFERROR('D. Annual Schedule Tables'!K124/K353,0)</f>
        <v>0</v>
      </c>
      <c r="L395" s="507">
        <f ca="1">IFERROR('D. Annual Schedule Tables'!L124/L353,0)</f>
        <v>0</v>
      </c>
      <c r="M395" s="507">
        <f ca="1">IFERROR('D. Annual Schedule Tables'!M124/M353,0)</f>
        <v>0</v>
      </c>
      <c r="N395" s="507">
        <f ca="1">IFERROR('D. Annual Schedule Tables'!N124/N353,0)</f>
        <v>0</v>
      </c>
      <c r="O395" s="507">
        <f ca="1">IFERROR('D. Annual Schedule Tables'!O124/O353,0)</f>
        <v>0</v>
      </c>
      <c r="P395" s="467">
        <f t="shared" ca="1" si="198"/>
        <v>0</v>
      </c>
    </row>
    <row r="396" spans="3:16" s="1" customFormat="1" hidden="1" outlineLevel="1" x14ac:dyDescent="0.3">
      <c r="C396" s="432" t="s">
        <v>677</v>
      </c>
      <c r="E396" s="507">
        <f ca="1">IFERROR('D. Annual Schedule Tables'!E125/E353,0)</f>
        <v>0</v>
      </c>
      <c r="F396" s="507">
        <f ca="1">IFERROR('D. Annual Schedule Tables'!F125/F353,0)</f>
        <v>0</v>
      </c>
      <c r="G396" s="507">
        <f ca="1">IFERROR('D. Annual Schedule Tables'!G125/G353,0)</f>
        <v>0</v>
      </c>
      <c r="H396" s="507">
        <f ca="1">IFERROR('D. Annual Schedule Tables'!H125/H353,0)</f>
        <v>0</v>
      </c>
      <c r="I396" s="507">
        <f ca="1">IFERROR('D. Annual Schedule Tables'!I125/I353,0)</f>
        <v>0</v>
      </c>
      <c r="J396" s="507">
        <f ca="1">IFERROR('D. Annual Schedule Tables'!J125/J353,0)</f>
        <v>0</v>
      </c>
      <c r="K396" s="507">
        <f ca="1">IFERROR('D. Annual Schedule Tables'!K125/K353,0)</f>
        <v>0</v>
      </c>
      <c r="L396" s="507">
        <f ca="1">IFERROR('D. Annual Schedule Tables'!L125/L353,0)</f>
        <v>0</v>
      </c>
      <c r="M396" s="507">
        <f ca="1">IFERROR('D. Annual Schedule Tables'!M125/M353,0)</f>
        <v>0</v>
      </c>
      <c r="N396" s="507">
        <f ca="1">IFERROR('D. Annual Schedule Tables'!N125/N353,0)</f>
        <v>0</v>
      </c>
      <c r="O396" s="507">
        <f ca="1">IFERROR('D. Annual Schedule Tables'!O125/O353,0)</f>
        <v>0</v>
      </c>
      <c r="P396" s="467">
        <f t="shared" ca="1" si="198"/>
        <v>0</v>
      </c>
    </row>
    <row r="397" spans="3:16" s="1" customFormat="1" collapsed="1" x14ac:dyDescent="0.3">
      <c r="C397" s="1" t="s">
        <v>673</v>
      </c>
      <c r="E397" s="506">
        <f ca="1">IFERROR('D. Annual Schedule Tables'!E126/E353,0)</f>
        <v>0</v>
      </c>
      <c r="F397" s="506">
        <f ca="1">IFERROR('D. Annual Schedule Tables'!F126/F353,0)</f>
        <v>0</v>
      </c>
      <c r="G397" s="506">
        <f ca="1">IFERROR('D. Annual Schedule Tables'!G126/G353,0)</f>
        <v>0</v>
      </c>
      <c r="H397" s="506">
        <f ca="1">IFERROR('D. Annual Schedule Tables'!H126/H353,0)</f>
        <v>0</v>
      </c>
      <c r="I397" s="506">
        <f ca="1">IFERROR('D. Annual Schedule Tables'!I126/I353,0)</f>
        <v>0</v>
      </c>
      <c r="J397" s="506">
        <f ca="1">IFERROR('D. Annual Schedule Tables'!J126/J353,0)</f>
        <v>0</v>
      </c>
      <c r="K397" s="506">
        <f ca="1">IFERROR('D. Annual Schedule Tables'!K126/K353,0)</f>
        <v>0</v>
      </c>
      <c r="L397" s="506">
        <f ca="1">IFERROR('D. Annual Schedule Tables'!L126/L353,0)</f>
        <v>0</v>
      </c>
      <c r="M397" s="506">
        <f ca="1">IFERROR('D. Annual Schedule Tables'!M126/M353,0)</f>
        <v>0</v>
      </c>
      <c r="N397" s="506">
        <f ca="1">IFERROR('D. Annual Schedule Tables'!N126/N353,0)</f>
        <v>0</v>
      </c>
      <c r="O397" s="506">
        <f ca="1">IFERROR('D. Annual Schedule Tables'!O126/O353,0)</f>
        <v>0</v>
      </c>
      <c r="P397" s="474">
        <f t="shared" ca="1" si="198"/>
        <v>0</v>
      </c>
    </row>
    <row r="398" spans="3:16" s="1" customFormat="1" hidden="1" outlineLevel="1" x14ac:dyDescent="0.3">
      <c r="C398" s="483" t="s">
        <v>735</v>
      </c>
      <c r="E398" s="501">
        <f ca="1">IFERROR(E394*'B. Implementation Plan'!P43/52,0)</f>
        <v>0</v>
      </c>
      <c r="F398" s="501">
        <f ca="1">IFERROR(F394*'B. Implementation Plan'!P43/52,0)</f>
        <v>0</v>
      </c>
      <c r="G398" s="501">
        <f ca="1">IFERROR(G394*'B. Implementation Plan'!P43/52,0)</f>
        <v>0</v>
      </c>
      <c r="H398" s="501">
        <f ca="1">IFERROR(H394*'B. Implementation Plan'!P43/52,0)</f>
        <v>0</v>
      </c>
      <c r="I398" s="501">
        <f ca="1">IFERROR(I394*'B. Implementation Plan'!P43/52,0)</f>
        <v>0</v>
      </c>
      <c r="J398" s="501">
        <f ca="1">IFERROR(J394*'B. Implementation Plan'!P43/52,0)</f>
        <v>0</v>
      </c>
      <c r="K398" s="501">
        <f ca="1">IFERROR(K394*'B. Implementation Plan'!P43/52,0)</f>
        <v>0</v>
      </c>
      <c r="L398" s="501">
        <f ca="1">IFERROR(L394*'B. Implementation Plan'!P43/52,0)</f>
        <v>0</v>
      </c>
      <c r="M398" s="501">
        <f ca="1">IFERROR(M394*'B. Implementation Plan'!P43/52,0)</f>
        <v>0</v>
      </c>
      <c r="N398" s="501">
        <f ca="1">IFERROR(N394*'B. Implementation Plan'!P43/52,0)</f>
        <v>0</v>
      </c>
      <c r="O398" s="501">
        <f ca="1">IFERROR(O394*'B. Implementation Plan'!P43/52,0)</f>
        <v>0</v>
      </c>
      <c r="P398" s="467">
        <f t="shared" ca="1" si="198"/>
        <v>0</v>
      </c>
    </row>
    <row r="399" spans="3:16" s="1" customFormat="1" hidden="1" outlineLevel="1" x14ac:dyDescent="0.3">
      <c r="C399" s="483" t="s">
        <v>736</v>
      </c>
      <c r="E399" s="501">
        <f ca="1">IFERROR(E395*'B. Implementation Plan'!P44/52,0)</f>
        <v>0</v>
      </c>
      <c r="F399" s="501">
        <f ca="1">IFERROR(F395*'B. Implementation Plan'!P44/52,0)</f>
        <v>0</v>
      </c>
      <c r="G399" s="501">
        <f ca="1">IFERROR(G395*'B. Implementation Plan'!P44/52,0)</f>
        <v>0</v>
      </c>
      <c r="H399" s="501">
        <f ca="1">IFERROR(H395*'B. Implementation Plan'!P44/52,0)</f>
        <v>0</v>
      </c>
      <c r="I399" s="501">
        <f ca="1">IFERROR(I395*'B. Implementation Plan'!P44/52,0)</f>
        <v>0</v>
      </c>
      <c r="J399" s="501">
        <f ca="1">IFERROR(J395*'B. Implementation Plan'!P44/52,0)</f>
        <v>0</v>
      </c>
      <c r="K399" s="501">
        <f ca="1">IFERROR(K395*'B. Implementation Plan'!P44/52,0)</f>
        <v>0</v>
      </c>
      <c r="L399" s="501">
        <f ca="1">IFERROR(L395*'B. Implementation Plan'!P44/52,0)</f>
        <v>0</v>
      </c>
      <c r="M399" s="501">
        <f ca="1">IFERROR(M395*'B. Implementation Plan'!P44/52,0)</f>
        <v>0</v>
      </c>
      <c r="N399" s="501">
        <f ca="1">IFERROR(N395*'B. Implementation Plan'!P44/52,0)</f>
        <v>0</v>
      </c>
      <c r="O399" s="501">
        <f ca="1">IFERROR(O395*'B. Implementation Plan'!P44/52,0)</f>
        <v>0</v>
      </c>
      <c r="P399" s="467">
        <f t="shared" ca="1" si="198"/>
        <v>0</v>
      </c>
    </row>
    <row r="400" spans="3:16" s="1" customFormat="1" hidden="1" outlineLevel="1" x14ac:dyDescent="0.3">
      <c r="C400" s="483" t="s">
        <v>737</v>
      </c>
      <c r="E400" s="501">
        <f ca="1">IFERROR(E396*'B. Implementation Plan'!P45/52,0)</f>
        <v>0</v>
      </c>
      <c r="F400" s="501">
        <f ca="1">IFERROR(F396*'B. Implementation Plan'!P45/52,0)</f>
        <v>0</v>
      </c>
      <c r="G400" s="501">
        <f ca="1">IFERROR(G396*'B. Implementation Plan'!P45/52,0)</f>
        <v>0</v>
      </c>
      <c r="H400" s="501">
        <f ca="1">IFERROR(H396*'B. Implementation Plan'!P45/52,0)</f>
        <v>0</v>
      </c>
      <c r="I400" s="501">
        <f ca="1">IFERROR(I396*'B. Implementation Plan'!P45/52,0)</f>
        <v>0</v>
      </c>
      <c r="J400" s="501">
        <f ca="1">IFERROR(J396*'B. Implementation Plan'!P45/52,0)</f>
        <v>0</v>
      </c>
      <c r="K400" s="501">
        <f ca="1">IFERROR(K396*'B. Implementation Plan'!P45/52,0)</f>
        <v>0</v>
      </c>
      <c r="L400" s="501">
        <f ca="1">IFERROR(L396*'B. Implementation Plan'!P45/52,0)</f>
        <v>0</v>
      </c>
      <c r="M400" s="501">
        <f ca="1">IFERROR(M396*'B. Implementation Plan'!P45/52,0)</f>
        <v>0</v>
      </c>
      <c r="N400" s="501">
        <f ca="1">IFERROR(N396*'B. Implementation Plan'!P45/52,0)</f>
        <v>0</v>
      </c>
      <c r="O400" s="501">
        <f ca="1">IFERROR(O396*'B. Implementation Plan'!P45/52,0)</f>
        <v>0</v>
      </c>
      <c r="P400" s="467">
        <f t="shared" ca="1" si="198"/>
        <v>0</v>
      </c>
    </row>
    <row r="401" spans="1:16" s="1" customFormat="1" collapsed="1" x14ac:dyDescent="0.3">
      <c r="C401" s="409" t="s">
        <v>742</v>
      </c>
      <c r="E401" s="472">
        <f ca="1">IFERROR(SUMPRODUCT(E394:E396,'B. Implementation Plan'!P43:P45)/52,0)</f>
        <v>0</v>
      </c>
      <c r="F401" s="472">
        <f ca="1">IFERROR(SUMPRODUCT(F394:F396,'B. Implementation Plan'!P43:P45)/52,0)</f>
        <v>0</v>
      </c>
      <c r="G401" s="472">
        <f ca="1">IFERROR(SUMPRODUCT(G394:G396,'B. Implementation Plan'!P43:P45)/52,0)</f>
        <v>0</v>
      </c>
      <c r="H401" s="472">
        <f ca="1">IFERROR(SUMPRODUCT(H394:H396,'B. Implementation Plan'!P43:P45)/52,0)</f>
        <v>0</v>
      </c>
      <c r="I401" s="472">
        <f ca="1">IFERROR(SUMPRODUCT(I394:I396,'B. Implementation Plan'!P43:P45)/52,0)</f>
        <v>0</v>
      </c>
      <c r="J401" s="472">
        <f ca="1">IFERROR(SUMPRODUCT(J394:J396,'B. Implementation Plan'!P43:P45)/52,0)</f>
        <v>0</v>
      </c>
      <c r="K401" s="472">
        <f ca="1">IFERROR(SUMPRODUCT(K394:K396,'B. Implementation Plan'!P43:P45)/52,0)</f>
        <v>0</v>
      </c>
      <c r="L401" s="472">
        <f ca="1">IFERROR(SUMPRODUCT(L394:L396,'B. Implementation Plan'!P43:P45)/52,0)</f>
        <v>0</v>
      </c>
      <c r="M401" s="472">
        <f ca="1">IFERROR(SUMPRODUCT(M394:M396,'B. Implementation Plan'!P43:P45)/52,0)</f>
        <v>0</v>
      </c>
      <c r="N401" s="472">
        <f ca="1">IFERROR(SUMPRODUCT(N394:N396,'B. Implementation Plan'!P43:P45)/52,0)</f>
        <v>0</v>
      </c>
      <c r="O401" s="472">
        <f ca="1">IFERROR(SUMPRODUCT(O394:O396,'B. Implementation Plan'!P43:P45)/52,0)</f>
        <v>0</v>
      </c>
      <c r="P401" s="474">
        <f t="shared" ca="1" si="198"/>
        <v>0</v>
      </c>
    </row>
    <row r="402" spans="1:16" s="1" customFormat="1" hidden="1" outlineLevel="1" x14ac:dyDescent="0.3">
      <c r="C402" s="433" t="s">
        <v>654</v>
      </c>
      <c r="E402" s="465">
        <f ca="1">IFERROR('D. Annual Schedule Tables'!E717/(E397*E353),0)</f>
        <v>0</v>
      </c>
      <c r="F402" s="465">
        <f ca="1">IFERROR('D. Annual Schedule Tables'!F717/(F397*F353),0)</f>
        <v>0</v>
      </c>
      <c r="G402" s="465">
        <f ca="1">IFERROR('D. Annual Schedule Tables'!G717/(G397*G353),0)</f>
        <v>0</v>
      </c>
      <c r="H402" s="465">
        <f ca="1">IFERROR('D. Annual Schedule Tables'!H717/(H397*H353),0)</f>
        <v>0</v>
      </c>
      <c r="I402" s="465">
        <f ca="1">IFERROR('D. Annual Schedule Tables'!I717/(I397*I353),0)</f>
        <v>0</v>
      </c>
      <c r="J402" s="465">
        <f ca="1">IFERROR('D. Annual Schedule Tables'!J717/(J397*J353),0)</f>
        <v>0</v>
      </c>
      <c r="K402" s="465">
        <f ca="1">IFERROR('D. Annual Schedule Tables'!K717/(K397*K353),0)</f>
        <v>0</v>
      </c>
      <c r="L402" s="465">
        <f ca="1">IFERROR('D. Annual Schedule Tables'!L717/(L397*L353),0)</f>
        <v>0</v>
      </c>
      <c r="M402" s="465">
        <f ca="1">IFERROR('D. Annual Schedule Tables'!M717/(M397*M353),0)</f>
        <v>0</v>
      </c>
      <c r="N402" s="465">
        <f ca="1">IFERROR('D. Annual Schedule Tables'!N717/(N397*N353),0)</f>
        <v>0</v>
      </c>
      <c r="O402" s="465">
        <f ca="1">IFERROR('D. Annual Schedule Tables'!O717/(O397*O353),0)</f>
        <v>0</v>
      </c>
      <c r="P402" s="466">
        <f t="shared" ca="1" si="198"/>
        <v>0</v>
      </c>
    </row>
    <row r="403" spans="1:16" s="1" customFormat="1" hidden="1" outlineLevel="1" x14ac:dyDescent="0.3">
      <c r="C403" s="483" t="s">
        <v>738</v>
      </c>
      <c r="E403" s="502">
        <f ca="1">IFERROR(E402*E398,0)</f>
        <v>0</v>
      </c>
      <c r="F403" s="502">
        <f t="shared" ref="F403:O403" ca="1" si="245">IFERROR(F402*F398,0)</f>
        <v>0</v>
      </c>
      <c r="G403" s="502">
        <f t="shared" ca="1" si="245"/>
        <v>0</v>
      </c>
      <c r="H403" s="502">
        <f t="shared" ca="1" si="245"/>
        <v>0</v>
      </c>
      <c r="I403" s="502">
        <f t="shared" ca="1" si="245"/>
        <v>0</v>
      </c>
      <c r="J403" s="502">
        <f t="shared" ca="1" si="245"/>
        <v>0</v>
      </c>
      <c r="K403" s="502">
        <f t="shared" ca="1" si="245"/>
        <v>0</v>
      </c>
      <c r="L403" s="502">
        <f t="shared" ca="1" si="245"/>
        <v>0</v>
      </c>
      <c r="M403" s="502">
        <f t="shared" ca="1" si="245"/>
        <v>0</v>
      </c>
      <c r="N403" s="502">
        <f t="shared" ca="1" si="245"/>
        <v>0</v>
      </c>
      <c r="O403" s="502">
        <f t="shared" ca="1" si="245"/>
        <v>0</v>
      </c>
      <c r="P403" s="467">
        <f t="shared" ca="1" si="198"/>
        <v>0</v>
      </c>
    </row>
    <row r="404" spans="1:16" s="1" customFormat="1" hidden="1" outlineLevel="1" x14ac:dyDescent="0.3">
      <c r="C404" s="483" t="s">
        <v>739</v>
      </c>
      <c r="E404" s="502">
        <f ca="1">IFERROR(E402*E399,0)</f>
        <v>0</v>
      </c>
      <c r="F404" s="502">
        <f t="shared" ref="F404:O404" ca="1" si="246">IFERROR(F402*F399,0)</f>
        <v>0</v>
      </c>
      <c r="G404" s="502">
        <f t="shared" ca="1" si="246"/>
        <v>0</v>
      </c>
      <c r="H404" s="502">
        <f t="shared" ca="1" si="246"/>
        <v>0</v>
      </c>
      <c r="I404" s="502">
        <f t="shared" ca="1" si="246"/>
        <v>0</v>
      </c>
      <c r="J404" s="502">
        <f t="shared" ca="1" si="246"/>
        <v>0</v>
      </c>
      <c r="K404" s="502">
        <f t="shared" ca="1" si="246"/>
        <v>0</v>
      </c>
      <c r="L404" s="502">
        <f t="shared" ca="1" si="246"/>
        <v>0</v>
      </c>
      <c r="M404" s="502">
        <f t="shared" ca="1" si="246"/>
        <v>0</v>
      </c>
      <c r="N404" s="502">
        <f t="shared" ca="1" si="246"/>
        <v>0</v>
      </c>
      <c r="O404" s="502">
        <f t="shared" ca="1" si="246"/>
        <v>0</v>
      </c>
      <c r="P404" s="467">
        <f t="shared" ca="1" si="198"/>
        <v>0</v>
      </c>
    </row>
    <row r="405" spans="1:16" s="1" customFormat="1" hidden="1" outlineLevel="1" x14ac:dyDescent="0.3">
      <c r="C405" s="483" t="s">
        <v>740</v>
      </c>
      <c r="E405" s="502">
        <f ca="1">IFERROR(E402*E400,0)</f>
        <v>0</v>
      </c>
      <c r="F405" s="502">
        <f t="shared" ref="F405:O405" ca="1" si="247">IFERROR(F402*F400,0)</f>
        <v>0</v>
      </c>
      <c r="G405" s="502">
        <f t="shared" ca="1" si="247"/>
        <v>0</v>
      </c>
      <c r="H405" s="502">
        <f t="shared" ca="1" si="247"/>
        <v>0</v>
      </c>
      <c r="I405" s="502">
        <f t="shared" ca="1" si="247"/>
        <v>0</v>
      </c>
      <c r="J405" s="502">
        <f t="shared" ca="1" si="247"/>
        <v>0</v>
      </c>
      <c r="K405" s="502">
        <f t="shared" ca="1" si="247"/>
        <v>0</v>
      </c>
      <c r="L405" s="502">
        <f t="shared" ca="1" si="247"/>
        <v>0</v>
      </c>
      <c r="M405" s="502">
        <f t="shared" ca="1" si="247"/>
        <v>0</v>
      </c>
      <c r="N405" s="502">
        <f t="shared" ca="1" si="247"/>
        <v>0</v>
      </c>
      <c r="O405" s="502">
        <f t="shared" ca="1" si="247"/>
        <v>0</v>
      </c>
      <c r="P405" s="467">
        <f t="shared" ca="1" si="198"/>
        <v>0</v>
      </c>
    </row>
    <row r="406" spans="1:16" collapsed="1" x14ac:dyDescent="0.3">
      <c r="C406" s="433" t="s">
        <v>658</v>
      </c>
      <c r="E406" s="468">
        <f t="shared" ref="E406:O406" ca="1" si="248">IFERROR(E402*E401,0)</f>
        <v>0</v>
      </c>
      <c r="F406" s="468">
        <f t="shared" ca="1" si="248"/>
        <v>0</v>
      </c>
      <c r="G406" s="468">
        <f t="shared" ca="1" si="248"/>
        <v>0</v>
      </c>
      <c r="H406" s="468">
        <f t="shared" ca="1" si="248"/>
        <v>0</v>
      </c>
      <c r="I406" s="468">
        <f t="shared" ca="1" si="248"/>
        <v>0</v>
      </c>
      <c r="J406" s="468">
        <f t="shared" ca="1" si="248"/>
        <v>0</v>
      </c>
      <c r="K406" s="468">
        <f t="shared" ca="1" si="248"/>
        <v>0</v>
      </c>
      <c r="L406" s="468">
        <f t="shared" ca="1" si="248"/>
        <v>0</v>
      </c>
      <c r="M406" s="468">
        <f t="shared" ca="1" si="248"/>
        <v>0</v>
      </c>
      <c r="N406" s="468">
        <f t="shared" ca="1" si="248"/>
        <v>0</v>
      </c>
      <c r="O406" s="471">
        <f t="shared" ca="1" si="248"/>
        <v>0</v>
      </c>
      <c r="P406" s="467">
        <f t="shared" ca="1" si="198"/>
        <v>0</v>
      </c>
    </row>
    <row r="407" spans="1:16" x14ac:dyDescent="0.3">
      <c r="C407" s="638"/>
      <c r="E407" s="468"/>
      <c r="F407" s="468"/>
      <c r="G407" s="468"/>
      <c r="H407" s="468"/>
      <c r="I407" s="468"/>
      <c r="J407" s="468"/>
      <c r="K407" s="468"/>
      <c r="L407" s="468"/>
      <c r="M407" s="468"/>
      <c r="N407" s="468"/>
      <c r="O407" s="471"/>
      <c r="P407" s="467"/>
    </row>
    <row r="408" spans="1:16" x14ac:dyDescent="0.3">
      <c r="C408" s="470" t="s">
        <v>836</v>
      </c>
      <c r="E408" s="468">
        <f ca="1">IF(E353&gt;0,'B. Implementation Plan'!L402,0)</f>
        <v>0</v>
      </c>
      <c r="F408" s="468">
        <f ca="1">IF(F353&gt;0,'B. Implementation Plan'!L402,0)</f>
        <v>0</v>
      </c>
      <c r="G408" s="468">
        <f ca="1">IF(G353&gt;0,'B. Implementation Plan'!L402,0)</f>
        <v>0</v>
      </c>
      <c r="H408" s="468">
        <f ca="1">IF(H353&gt;0,'B. Implementation Plan'!L402,0)</f>
        <v>0</v>
      </c>
      <c r="I408" s="468">
        <f ca="1">IF(I353&gt;0,'B. Implementation Plan'!L402,0)</f>
        <v>0</v>
      </c>
      <c r="J408" s="468">
        <f ca="1">IF(J353&gt;0,'B. Implementation Plan'!L402,0)</f>
        <v>0</v>
      </c>
      <c r="K408" s="468">
        <f ca="1">IF(K353&gt;0,'B. Implementation Plan'!L402,0)</f>
        <v>0</v>
      </c>
      <c r="L408" s="468">
        <f ca="1">IF(L353&gt;0,'B. Implementation Plan'!L402,0)</f>
        <v>0</v>
      </c>
      <c r="M408" s="468">
        <f ca="1">IF(M353&gt;0,'B. Implementation Plan'!L402,0)</f>
        <v>0</v>
      </c>
      <c r="N408" s="468">
        <f ca="1">IF(N353&gt;0,'B. Implementation Plan'!L402,0)</f>
        <v>0</v>
      </c>
      <c r="O408" s="468">
        <f ca="1">IF(O353&gt;0,'B. Implementation Plan'!L402,0)</f>
        <v>0</v>
      </c>
      <c r="P408" s="467">
        <f t="shared" ca="1" si="198"/>
        <v>0</v>
      </c>
    </row>
    <row r="409" spans="1:16" s="1" customFormat="1" x14ac:dyDescent="0.3">
      <c r="C409" s="409" t="s">
        <v>681</v>
      </c>
      <c r="E409" s="472">
        <f ca="1">E373+E401+E408</f>
        <v>0</v>
      </c>
      <c r="F409" s="472">
        <f t="shared" ref="F409:O409" ca="1" si="249">F373+F401+F408</f>
        <v>0</v>
      </c>
      <c r="G409" s="472">
        <f t="shared" ca="1" si="249"/>
        <v>0</v>
      </c>
      <c r="H409" s="472">
        <f t="shared" ca="1" si="249"/>
        <v>0</v>
      </c>
      <c r="I409" s="472">
        <f t="shared" ca="1" si="249"/>
        <v>0</v>
      </c>
      <c r="J409" s="472">
        <f t="shared" ca="1" si="249"/>
        <v>0</v>
      </c>
      <c r="K409" s="472">
        <f t="shared" ca="1" si="249"/>
        <v>0</v>
      </c>
      <c r="L409" s="472">
        <f t="shared" ca="1" si="249"/>
        <v>0</v>
      </c>
      <c r="M409" s="472">
        <f t="shared" ca="1" si="249"/>
        <v>0</v>
      </c>
      <c r="N409" s="472">
        <f t="shared" ca="1" si="249"/>
        <v>0</v>
      </c>
      <c r="O409" s="472">
        <f t="shared" ca="1" si="249"/>
        <v>0</v>
      </c>
      <c r="P409" s="474">
        <f t="shared" ca="1" si="198"/>
        <v>0</v>
      </c>
    </row>
    <row r="410" spans="1:16" s="1" customFormat="1" x14ac:dyDescent="0.3">
      <c r="C410" s="470" t="s">
        <v>751</v>
      </c>
      <c r="E410" s="372">
        <f ca="1">IFERROR('D. Annual Schedule Tables'!E735/E353,0)</f>
        <v>0</v>
      </c>
      <c r="F410" s="372">
        <f ca="1">IFERROR('D. Annual Schedule Tables'!F735/F353,0)</f>
        <v>0</v>
      </c>
      <c r="G410" s="372">
        <f ca="1">IFERROR('D. Annual Schedule Tables'!G735/G353,0)</f>
        <v>0</v>
      </c>
      <c r="H410" s="372">
        <f ca="1">IFERROR('D. Annual Schedule Tables'!H735/H353,0)</f>
        <v>0</v>
      </c>
      <c r="I410" s="372">
        <f ca="1">IFERROR('D. Annual Schedule Tables'!I735/I353,0)</f>
        <v>0</v>
      </c>
      <c r="J410" s="372">
        <f ca="1">IFERROR('D. Annual Schedule Tables'!J735/J353,0)</f>
        <v>0</v>
      </c>
      <c r="K410" s="372">
        <f ca="1">IFERROR('D. Annual Schedule Tables'!K735/K353,0)</f>
        <v>0</v>
      </c>
      <c r="L410" s="372">
        <f ca="1">IFERROR('D. Annual Schedule Tables'!L735/L353,0)</f>
        <v>0</v>
      </c>
      <c r="M410" s="372">
        <f ca="1">IFERROR('D. Annual Schedule Tables'!M735/M353,0)</f>
        <v>0</v>
      </c>
      <c r="N410" s="372">
        <f ca="1">IFERROR('D. Annual Schedule Tables'!N735/N353,0)</f>
        <v>0</v>
      </c>
      <c r="O410" s="372">
        <f ca="1">IFERROR('D. Annual Schedule Tables'!O735/O353,0)</f>
        <v>0</v>
      </c>
      <c r="P410" s="434">
        <f t="shared" ca="1" si="198"/>
        <v>0</v>
      </c>
    </row>
    <row r="411" spans="1:16" s="1" customFormat="1" ht="15" thickBot="1" x14ac:dyDescent="0.35">
      <c r="C411" s="470" t="s">
        <v>810</v>
      </c>
      <c r="E411" s="468">
        <f t="shared" ref="E411:O411" ca="1" si="250">E373+E401</f>
        <v>0</v>
      </c>
      <c r="F411" s="468">
        <f t="shared" ca="1" si="250"/>
        <v>0</v>
      </c>
      <c r="G411" s="468">
        <f t="shared" ca="1" si="250"/>
        <v>0</v>
      </c>
      <c r="H411" s="468">
        <f t="shared" ca="1" si="250"/>
        <v>0</v>
      </c>
      <c r="I411" s="468">
        <f t="shared" ca="1" si="250"/>
        <v>0</v>
      </c>
      <c r="J411" s="468">
        <f t="shared" ca="1" si="250"/>
        <v>0</v>
      </c>
      <c r="K411" s="468">
        <f t="shared" ca="1" si="250"/>
        <v>0</v>
      </c>
      <c r="L411" s="468">
        <f t="shared" ca="1" si="250"/>
        <v>0</v>
      </c>
      <c r="M411" s="468">
        <f t="shared" ca="1" si="250"/>
        <v>0</v>
      </c>
      <c r="N411" s="468">
        <f t="shared" ca="1" si="250"/>
        <v>0</v>
      </c>
      <c r="O411" s="468">
        <f t="shared" ca="1" si="250"/>
        <v>0</v>
      </c>
      <c r="P411" s="536">
        <f t="shared" ca="1" si="198"/>
        <v>0</v>
      </c>
    </row>
    <row r="412" spans="1:16" x14ac:dyDescent="0.3">
      <c r="P412"/>
    </row>
    <row r="413" spans="1:16" ht="18" x14ac:dyDescent="0.35">
      <c r="A413" s="239" t="s">
        <v>800</v>
      </c>
      <c r="B413" s="240"/>
      <c r="C413" s="241"/>
    </row>
    <row r="414" spans="1:16" x14ac:dyDescent="0.3">
      <c r="P414"/>
    </row>
    <row r="415" spans="1:16" ht="16.2" thickBot="1" x14ac:dyDescent="0.35">
      <c r="B415" s="253" t="s">
        <v>690</v>
      </c>
      <c r="C415" s="254"/>
      <c r="E415" s="469"/>
      <c r="P415"/>
    </row>
    <row r="416" spans="1:16" s="365" customFormat="1" ht="14.55" customHeight="1" x14ac:dyDescent="0.3">
      <c r="A416" s="1"/>
      <c r="B416" s="62"/>
      <c r="D416" s="394"/>
      <c r="E416" s="294">
        <v>0</v>
      </c>
      <c r="F416" s="294">
        <v>1</v>
      </c>
      <c r="G416" s="294">
        <v>2</v>
      </c>
      <c r="H416" s="294">
        <v>3</v>
      </c>
      <c r="I416" s="294">
        <v>4</v>
      </c>
      <c r="J416" s="294">
        <v>5</v>
      </c>
      <c r="K416" s="294">
        <v>6</v>
      </c>
      <c r="L416" s="294">
        <v>7</v>
      </c>
      <c r="M416" s="294">
        <v>8</v>
      </c>
      <c r="N416" s="294">
        <v>9</v>
      </c>
      <c r="O416" s="295">
        <v>10</v>
      </c>
      <c r="P416" s="395" t="s">
        <v>2</v>
      </c>
    </row>
    <row r="417" spans="3:16" x14ac:dyDescent="0.3">
      <c r="C417" s="396" t="s">
        <v>901</v>
      </c>
      <c r="E417" s="482">
        <f ca="1">E378*'B. Implementation Plan'!P408*2080*(1+E19)^E416</f>
        <v>0</v>
      </c>
      <c r="F417" s="482">
        <f ca="1">F378*'B. Implementation Plan'!P408*2080*(1+E19)^F416</f>
        <v>0</v>
      </c>
      <c r="G417" s="482">
        <f ca="1">G378*'B. Implementation Plan'!P408*2080*(1+E19)^G416</f>
        <v>0</v>
      </c>
      <c r="H417" s="482">
        <f ca="1">H378*'B. Implementation Plan'!P408*2080*(1+E19)^H416</f>
        <v>0</v>
      </c>
      <c r="I417" s="482">
        <f ca="1">I378*'B. Implementation Plan'!P408*2080*(1+E19)^I416</f>
        <v>0</v>
      </c>
      <c r="J417" s="482">
        <f ca="1">J378*'B. Implementation Plan'!P408*2080*(1+E19)^J416</f>
        <v>0</v>
      </c>
      <c r="K417" s="482">
        <f ca="1">K378*'B. Implementation Plan'!P408*2080*(1+E19)^K416</f>
        <v>0</v>
      </c>
      <c r="L417" s="482">
        <f ca="1">L378*'B. Implementation Plan'!P408*2080*(1+E19)^L416</f>
        <v>0</v>
      </c>
      <c r="M417" s="482">
        <f ca="1">M378*'B. Implementation Plan'!P408*2080*(1+E19)^M416</f>
        <v>0</v>
      </c>
      <c r="N417" s="482">
        <f ca="1">N378*'B. Implementation Plan'!P408*2080*(1+E19)^N416</f>
        <v>0</v>
      </c>
      <c r="O417" s="482">
        <f ca="1">O378*'B. Implementation Plan'!P408*2080*(1+E19)^O416</f>
        <v>0</v>
      </c>
      <c r="P417" s="488">
        <f ca="1">IF(O417=0,IF(N417=0,IF(M417=0,IF(L417=0,IF(K417=0,IF(J417=0,IF(I417=0,IF(H417=0,IF(G417=0,IF(F417=0,E89,F417),G417),H417),I417),J417),K417),L417),M417),N417),O417)</f>
        <v>0</v>
      </c>
    </row>
    <row r="418" spans="3:16" x14ac:dyDescent="0.3">
      <c r="C418" s="396" t="s">
        <v>902</v>
      </c>
      <c r="E418" s="482">
        <f ca="1">E383*'B. Implementation Plan'!P407*2080*(1+E19)^E416</f>
        <v>0</v>
      </c>
      <c r="F418" s="482">
        <f ca="1">F383*'B. Implementation Plan'!P407*2080*(1+E19)^F416</f>
        <v>0</v>
      </c>
      <c r="G418" s="482">
        <f ca="1">G383*'B. Implementation Plan'!P407*2080*(1+E19)^G416</f>
        <v>0</v>
      </c>
      <c r="H418" s="482">
        <f ca="1">H383*'B. Implementation Plan'!P407*2080*(1+E19)^H416</f>
        <v>0</v>
      </c>
      <c r="I418" s="482">
        <f ca="1">I383*'B. Implementation Plan'!P407*2080*(1+E19)^I416</f>
        <v>0</v>
      </c>
      <c r="J418" s="482">
        <f ca="1">J383*'B. Implementation Plan'!P407*2080*(1+E19)^J416</f>
        <v>0</v>
      </c>
      <c r="K418" s="482">
        <f ca="1">K383*'B. Implementation Plan'!P407*2080*(1+E19)^K416</f>
        <v>0</v>
      </c>
      <c r="L418" s="482">
        <f ca="1">L383*'B. Implementation Plan'!P407*2080*(1+E19)^L416</f>
        <v>0</v>
      </c>
      <c r="M418" s="482">
        <f ca="1">M383*'B. Implementation Plan'!P407*2080*(1+E19)^M416</f>
        <v>0</v>
      </c>
      <c r="N418" s="482">
        <f ca="1">N383*'B. Implementation Plan'!P407*2080*(1+E19)^N416</f>
        <v>0</v>
      </c>
      <c r="O418" s="482">
        <f ca="1">O383*'B. Implementation Plan'!P407*2080*(1+E19)^O416</f>
        <v>0</v>
      </c>
      <c r="P418" s="488">
        <f ca="1">IF(O418=0,IF(N418=0,IF(M418=0,IF(L418=0,IF(K418=0,IF(J418=0,IF(I418=0,IF(H418=0,IF(G418=0,IF(F418=0,E90,F418),G418),H418),I418),J418),K418),L418),M418),N418),O418)</f>
        <v>0</v>
      </c>
    </row>
    <row r="419" spans="3:16" x14ac:dyDescent="0.3">
      <c r="C419" s="396" t="s">
        <v>903</v>
      </c>
      <c r="E419" s="482">
        <f ca="1">E388*'B. Implementation Plan'!P406*2080*(1+E19)^E416</f>
        <v>0</v>
      </c>
      <c r="F419" s="482">
        <f ca="1">F388*'B. Implementation Plan'!P406*2080*(1+E19)^F416</f>
        <v>0</v>
      </c>
      <c r="G419" s="482">
        <f ca="1">G388*'B. Implementation Plan'!P406*2080*(1+E19)^G416</f>
        <v>0</v>
      </c>
      <c r="H419" s="482">
        <f ca="1">H388*'B. Implementation Plan'!P406*2080*(1+E19)^H416</f>
        <v>0</v>
      </c>
      <c r="I419" s="482">
        <f ca="1">I388*'B. Implementation Plan'!P406*2080*(1+E19)^I416</f>
        <v>0</v>
      </c>
      <c r="J419" s="482">
        <f ca="1">J388*'B. Implementation Plan'!P406*2080*(1+E19)^J416</f>
        <v>0</v>
      </c>
      <c r="K419" s="482">
        <f ca="1">K388*'B. Implementation Plan'!P406*2080*(1+E19)^K416</f>
        <v>0</v>
      </c>
      <c r="L419" s="482">
        <f ca="1">L388*'B. Implementation Plan'!P406*2080*(1+E19)^L416</f>
        <v>0</v>
      </c>
      <c r="M419" s="482">
        <f ca="1">M388*'B. Implementation Plan'!P406*2080*(1+E19)^M416</f>
        <v>0</v>
      </c>
      <c r="N419" s="482">
        <f ca="1">N388*'B. Implementation Plan'!P406*2080*(1+E19)^N416</f>
        <v>0</v>
      </c>
      <c r="O419" s="482">
        <f ca="1">O388*'B. Implementation Plan'!P406*2080*(1+E19)^O416</f>
        <v>0</v>
      </c>
      <c r="P419" s="488">
        <f ca="1">IF(O419=0,IF(N419=0,IF(M419=0,IF(L419=0,IF(K419=0,IF(J419=0,IF(I419=0,IF(H419=0,IF(G419=0,IF(F419=0,E91,F419),G419),H419),I419),J419),K419),L419),M419),N419),O419)</f>
        <v>0</v>
      </c>
    </row>
    <row r="420" spans="3:16" x14ac:dyDescent="0.3">
      <c r="C420" s="396" t="s">
        <v>678</v>
      </c>
      <c r="E420" s="482">
        <f ca="1">E393*'B. Implementation Plan'!P179*(1+E19)^E416</f>
        <v>0</v>
      </c>
      <c r="F420" s="482">
        <f ca="1">F393*'B. Implementation Plan'!P179*(1+E19)^F416</f>
        <v>0</v>
      </c>
      <c r="G420" s="482">
        <f ca="1">G393*'B. Implementation Plan'!P179*(1+E19)^G416</f>
        <v>0</v>
      </c>
      <c r="H420" s="482">
        <f ca="1">H393*'B. Implementation Plan'!P179*(1+E19)^H416</f>
        <v>0</v>
      </c>
      <c r="I420" s="482">
        <f ca="1">I393*'B. Implementation Plan'!P179*(1+E19)^I416</f>
        <v>0</v>
      </c>
      <c r="J420" s="482">
        <f ca="1">J393*'B. Implementation Plan'!P179*(1+E19)^J416</f>
        <v>0</v>
      </c>
      <c r="K420" s="482">
        <f ca="1">K393*'B. Implementation Plan'!P179*(1+E19)^K416</f>
        <v>0</v>
      </c>
      <c r="L420" s="482">
        <f ca="1">L393*'B. Implementation Plan'!P179*(1+E19)^L416</f>
        <v>0</v>
      </c>
      <c r="M420" s="482">
        <f ca="1">M393*'B. Implementation Plan'!P179*(1+E19)^M416</f>
        <v>0</v>
      </c>
      <c r="N420" s="482">
        <f ca="1">N393*'B. Implementation Plan'!P179*(1+E19)^N416</f>
        <v>0</v>
      </c>
      <c r="O420" s="482">
        <f ca="1">O393*'B. Implementation Plan'!P179*(1+E19)^O416</f>
        <v>0</v>
      </c>
      <c r="P420" s="488">
        <f t="shared" ref="P420:P431" ca="1" si="251">IF(O420=0,IF(N420=0,IF(M420=0,IF(L420=0,IF(K420=0,IF(J420=0,IF(I420=0,IF(H420=0,IF(G420=0,IF(F420=0,E420,F420),G420),H420),I420),J420),K420),L420),M420),N420),O420)</f>
        <v>0</v>
      </c>
    </row>
    <row r="421" spans="3:16" x14ac:dyDescent="0.3">
      <c r="C421" s="396" t="s">
        <v>904</v>
      </c>
      <c r="E421" s="482">
        <f ca="1">E406*'B. Implementation Plan'!P410*2080*(1+E19)^E416</f>
        <v>0</v>
      </c>
      <c r="F421" s="482">
        <f ca="1">F406*'B. Implementation Plan'!P410*2080*(1+E19)^F416</f>
        <v>0</v>
      </c>
      <c r="G421" s="482">
        <f ca="1">G406*'B. Implementation Plan'!P410*2080*(1+E19)^G416</f>
        <v>0</v>
      </c>
      <c r="H421" s="482">
        <f ca="1">H406*'B. Implementation Plan'!P410*2080*(1+E19)^H416</f>
        <v>0</v>
      </c>
      <c r="I421" s="482">
        <f ca="1">I406*'B. Implementation Plan'!P410*2080*(1+E19)^I416</f>
        <v>0</v>
      </c>
      <c r="J421" s="482">
        <f ca="1">J406*'B. Implementation Plan'!P410*2080*(1+E19)^J416</f>
        <v>0</v>
      </c>
      <c r="K421" s="482">
        <f ca="1">K406*'B. Implementation Plan'!P410*2080*(1+E19)^K416</f>
        <v>0</v>
      </c>
      <c r="L421" s="482">
        <f ca="1">L406*'B. Implementation Plan'!P410*2080*(1+E19)^L416</f>
        <v>0</v>
      </c>
      <c r="M421" s="482">
        <f ca="1">M406*'B. Implementation Plan'!P410*2080*(1+E19)^M416</f>
        <v>0</v>
      </c>
      <c r="N421" s="482">
        <f ca="1">N406*'B. Implementation Plan'!P410*2080*(1+E19)^N416</f>
        <v>0</v>
      </c>
      <c r="O421" s="482">
        <f ca="1">O406*'B. Implementation Plan'!P410*2080*(1+E19)^O416</f>
        <v>0</v>
      </c>
      <c r="P421" s="488">
        <f t="shared" ca="1" si="251"/>
        <v>0</v>
      </c>
    </row>
    <row r="422" spans="3:16" x14ac:dyDescent="0.3">
      <c r="C422" s="396" t="s">
        <v>905</v>
      </c>
      <c r="E422" s="482">
        <f ca="1">(E401-E406)*'B. Implementation Plan'!P409*2080*(1+E19)^E416</f>
        <v>0</v>
      </c>
      <c r="F422" s="482">
        <f ca="1">(F401-F406)*'B. Implementation Plan'!P409*2080*(1+E19)^F416</f>
        <v>0</v>
      </c>
      <c r="G422" s="482">
        <f ca="1">(G401-G406)*'B. Implementation Plan'!P409*2080*(1+E19)^G416</f>
        <v>0</v>
      </c>
      <c r="H422" s="482">
        <f ca="1">(H401-H406)*'B. Implementation Plan'!P409*2080*(1+E19)^H416</f>
        <v>0</v>
      </c>
      <c r="I422" s="482">
        <f ca="1">(I401-I406)*'B. Implementation Plan'!P409*2080*(1+E19)^I416</f>
        <v>0</v>
      </c>
      <c r="J422" s="482">
        <f ca="1">(J401-J406)*'B. Implementation Plan'!P409*2080*(1+E19)^J416</f>
        <v>0</v>
      </c>
      <c r="K422" s="482">
        <f ca="1">(K401-K406)*'B. Implementation Plan'!P409*2080*(1+E19)^K416</f>
        <v>0</v>
      </c>
      <c r="L422" s="482">
        <f ca="1">(L401-L406)*'B. Implementation Plan'!P409*2080*(1+E19)^L416</f>
        <v>0</v>
      </c>
      <c r="M422" s="482">
        <f ca="1">(M401-M406)*'B. Implementation Plan'!P409*2080*(1+E19)^M416</f>
        <v>0</v>
      </c>
      <c r="N422" s="482">
        <f ca="1">(N401-N406)*'B. Implementation Plan'!P409*2080*(1+E19)^N416</f>
        <v>0</v>
      </c>
      <c r="O422" s="482">
        <f ca="1">(O401-O406)*'B. Implementation Plan'!P409*2080*(1+E19)^O416</f>
        <v>0</v>
      </c>
      <c r="P422" s="488">
        <f t="shared" ca="1" si="251"/>
        <v>0</v>
      </c>
    </row>
    <row r="423" spans="3:16" x14ac:dyDescent="0.3">
      <c r="C423" s="639"/>
      <c r="E423" s="482"/>
      <c r="F423" s="482"/>
      <c r="G423" s="482"/>
      <c r="H423" s="482"/>
      <c r="I423" s="482"/>
      <c r="J423" s="482"/>
      <c r="K423" s="482"/>
      <c r="L423" s="482"/>
      <c r="M423" s="482"/>
      <c r="N423" s="482"/>
      <c r="O423" s="482"/>
      <c r="P423" s="488"/>
    </row>
    <row r="424" spans="3:16" x14ac:dyDescent="0.3">
      <c r="C424" s="396" t="s">
        <v>834</v>
      </c>
      <c r="E424" s="482">
        <f ca="1">IF(E353&gt;0,'B. Implementation Plan'!M402*(1+E19)^E416,0)</f>
        <v>0</v>
      </c>
      <c r="F424" s="482">
        <f ca="1">IF(F353&gt;0,'B. Implementation Plan'!M402*(1+E19)^F416,0)</f>
        <v>0</v>
      </c>
      <c r="G424" s="482">
        <f ca="1">IF(G353&gt;0,'B. Implementation Plan'!M402*(1+E19)^G416,0)</f>
        <v>0</v>
      </c>
      <c r="H424" s="482">
        <f ca="1">IF(H353&gt;0,'B. Implementation Plan'!M402*(1+E19)^H416,0)</f>
        <v>0</v>
      </c>
      <c r="I424" s="482">
        <f ca="1">IF(I353&gt;0,'B. Implementation Plan'!M402*(1+E19)^I416,0)</f>
        <v>0</v>
      </c>
      <c r="J424" s="482">
        <f ca="1">IF(J353&gt;0,'B. Implementation Plan'!M402*(1+E19)^J416,0)</f>
        <v>0</v>
      </c>
      <c r="K424" s="482">
        <f ca="1">IF(K353&gt;0,'B. Implementation Plan'!M402*(1+E19)^K416,0)</f>
        <v>0</v>
      </c>
      <c r="L424" s="482">
        <f ca="1">IF(L353&gt;0,'B. Implementation Plan'!M402*(1+E19)^L416,0)</f>
        <v>0</v>
      </c>
      <c r="M424" s="482">
        <f ca="1">IF(M353&gt;0,'B. Implementation Plan'!M402*(1+E19)^M416,0)</f>
        <v>0</v>
      </c>
      <c r="N424" s="482">
        <f ca="1">IF(N353&gt;0,'B. Implementation Plan'!M402*(1+E19)^N416,0)</f>
        <v>0</v>
      </c>
      <c r="O424" s="482">
        <f ca="1">IF(O353&gt;0,'B. Implementation Plan'!M402*(1+E19)^O416,0)</f>
        <v>0</v>
      </c>
      <c r="P424" s="488">
        <f t="shared" ca="1" si="251"/>
        <v>0</v>
      </c>
    </row>
    <row r="425" spans="3:16" hidden="1" outlineLevel="1" x14ac:dyDescent="0.3">
      <c r="C425" s="478" t="s">
        <v>684</v>
      </c>
      <c r="E425" s="482">
        <f ca="1">IF(OR('B. Implementation Plan'!M414="Y",'B. Implementation Plan'!M414="Yes"),0,E410*'B. Implementation Plan'!P413*(1+E19)^E416)</f>
        <v>0</v>
      </c>
      <c r="F425" s="482">
        <f ca="1">IF(OR('B. Implementation Plan'!M414="Y",'B. Implementation Plan'!M414="Yes"),0,F410*'B. Implementation Plan'!P413*(1+E19)^F416)</f>
        <v>0</v>
      </c>
      <c r="G425" s="482">
        <f ca="1">IF(OR('B. Implementation Plan'!M414="Y",'B. Implementation Plan'!M414="Yes"),0,G410*'B. Implementation Plan'!P413*(1+E19)^G416)</f>
        <v>0</v>
      </c>
      <c r="H425" s="482">
        <f ca="1">IF(OR('B. Implementation Plan'!M414="Y",'B. Implementation Plan'!M414="Yes"),0,H410*'B. Implementation Plan'!P413*(1+E19)^H416)</f>
        <v>0</v>
      </c>
      <c r="I425" s="482">
        <f ca="1">IF(OR('B. Implementation Plan'!M414="Y",'B. Implementation Plan'!M414="Yes"),0,I410*'B. Implementation Plan'!P413*(1+E19)^I416)</f>
        <v>0</v>
      </c>
      <c r="J425" s="482">
        <f ca="1">IF(OR('B. Implementation Plan'!M414="Y",'B. Implementation Plan'!M414="Yes"),0,J410*'B. Implementation Plan'!P413*(1+E19)^J416)</f>
        <v>0</v>
      </c>
      <c r="K425" s="482">
        <f ca="1">IF(OR('B. Implementation Plan'!M414="Y",'B. Implementation Plan'!M414="Yes"),0,K410*'B. Implementation Plan'!P413*(1+E19)^K416)</f>
        <v>0</v>
      </c>
      <c r="L425" s="482">
        <f ca="1">IF(OR('B. Implementation Plan'!M414="Y",'B. Implementation Plan'!M414="Yes"),0,L410*'B. Implementation Plan'!P413*(1+E19)^L416)</f>
        <v>0</v>
      </c>
      <c r="M425" s="482">
        <f ca="1">IF(OR('B. Implementation Plan'!M414="Y",'B. Implementation Plan'!M414="Yes"),0,M410*'B. Implementation Plan'!P413*(1+E19)^M416)</f>
        <v>0</v>
      </c>
      <c r="N425" s="482">
        <f ca="1">IF(OR('B. Implementation Plan'!M414="Y",'B. Implementation Plan'!M414="Yes"),0,N410*'B. Implementation Plan'!P413*(1+E19)^N416)</f>
        <v>0</v>
      </c>
      <c r="O425" s="482">
        <f ca="1">IF(OR('B. Implementation Plan'!M414="Y",'B. Implementation Plan'!M414="Yes"),0,O410*'B. Implementation Plan'!P413*(1+E19)^O416)</f>
        <v>0</v>
      </c>
      <c r="P425" s="488">
        <f t="shared" ca="1" si="251"/>
        <v>0</v>
      </c>
    </row>
    <row r="426" spans="3:16" hidden="1" outlineLevel="1" x14ac:dyDescent="0.3">
      <c r="C426" s="478" t="s">
        <v>685</v>
      </c>
      <c r="E426" s="482">
        <f ca="1">IF(OR('B. Implementation Plan'!M414="Y",'B. Implementation Plan'!M414="Yes"),0,(E373+E401)*('B. Implementation Plan'!P412*8)*'B. Implementation Plan'!P413*(1+E347)^E416)</f>
        <v>0</v>
      </c>
      <c r="F426" s="482">
        <f ca="1">IF(OR('B. Implementation Plan'!M414="Y",'B. Implementation Plan'!M414="Yes"),0,(F373+F401)*('B. Implementation Plan'!P412*8)*'B. Implementation Plan'!P413*(1+E347)^F416)</f>
        <v>0</v>
      </c>
      <c r="G426" s="482">
        <f ca="1">IF(OR('B. Implementation Plan'!M414="Y",'B. Implementation Plan'!M414="Yes"),0,(G373+G401)*('B. Implementation Plan'!P412*8)*'B. Implementation Plan'!P413*(1+E347)^G416)</f>
        <v>0</v>
      </c>
      <c r="H426" s="482">
        <f ca="1">IF(OR('B. Implementation Plan'!M414="Y",'B. Implementation Plan'!M414="Yes"),0,(H373+H401)*('B. Implementation Plan'!P412*8)*'B. Implementation Plan'!P413*(1+E347)^H416)</f>
        <v>0</v>
      </c>
      <c r="I426" s="482">
        <f ca="1">IF(OR('B. Implementation Plan'!M414="Y",'B. Implementation Plan'!M414="Yes"),0,(I373+I401)*('B. Implementation Plan'!P412*8)*'B. Implementation Plan'!P413*(1+E347)^I416)</f>
        <v>0</v>
      </c>
      <c r="J426" s="482">
        <f ca="1">IF(OR('B. Implementation Plan'!M414="Y",'B. Implementation Plan'!M414="Yes"),0,(J373+J401)*('B. Implementation Plan'!P412*8)*'B. Implementation Plan'!P413*(1+E347)^J416)</f>
        <v>0</v>
      </c>
      <c r="K426" s="482">
        <f ca="1">IF(OR('B. Implementation Plan'!M414="Y",'B. Implementation Plan'!M414="Yes"),0,(K373+K401)*('B. Implementation Plan'!P412*8)*'B. Implementation Plan'!P413*(1+E347)^K416)</f>
        <v>0</v>
      </c>
      <c r="L426" s="482">
        <f ca="1">IF(OR('B. Implementation Plan'!M414="Y",'B. Implementation Plan'!M414="Yes"),0,(L373+L401)*('B. Implementation Plan'!P412*8)*'B. Implementation Plan'!P413*(1+E347)^L416)</f>
        <v>0</v>
      </c>
      <c r="M426" s="482">
        <f ca="1">IF(OR('B. Implementation Plan'!M414="Y",'B. Implementation Plan'!M414="Yes"),0,(M373+M401)*('B. Implementation Plan'!P412*8)*'B. Implementation Plan'!P413*(1+E347)^M416)</f>
        <v>0</v>
      </c>
      <c r="N426" s="482">
        <f ca="1">IF(OR('B. Implementation Plan'!M414="Y",'B. Implementation Plan'!M414="Yes"),0,(N373+N401)*('B. Implementation Plan'!P412*8)*'B. Implementation Plan'!P413*(1+E347)^N416)</f>
        <v>0</v>
      </c>
      <c r="O426" s="482">
        <f ca="1">IF(OR('B. Implementation Plan'!M414="Y",'B. Implementation Plan'!M414="Yes"),0,(O373+O401)*('B. Implementation Plan'!P412*8)*'B. Implementation Plan'!P413*(1+E347)^O416)</f>
        <v>0</v>
      </c>
      <c r="P426" s="488">
        <f t="shared" ca="1" si="251"/>
        <v>0</v>
      </c>
    </row>
    <row r="427" spans="3:16" collapsed="1" x14ac:dyDescent="0.3">
      <c r="C427" s="420" t="s">
        <v>683</v>
      </c>
      <c r="E427" s="482">
        <f ca="1">IF(OR('B. Implementation Plan'!M414="Y",'B. Implementation Plan'!M414="Yes"),'B. Implementation Plan'!N414*(SUM(E417:E422)),SUM(E425:E426))</f>
        <v>0</v>
      </c>
      <c r="F427" s="482">
        <f ca="1">IF(OR('B. Implementation Plan'!M414="Y",'B. Implementation Plan'!M414="Yes"),'B. Implementation Plan'!N414*(SUM(F417:F422)),SUM(F425:F426))</f>
        <v>0</v>
      </c>
      <c r="G427" s="482">
        <f ca="1">IF(OR('B. Implementation Plan'!M414="Y",'B. Implementation Plan'!M414="Yes"),'B. Implementation Plan'!N414*(SUM(G417:G422)),SUM(G425:G426))</f>
        <v>0</v>
      </c>
      <c r="H427" s="482">
        <f ca="1">IF(OR('B. Implementation Plan'!M414="Y",'B. Implementation Plan'!M414="Yes"),'B. Implementation Plan'!N414*(SUM(H417:H422)),SUM(H425:H426))</f>
        <v>0</v>
      </c>
      <c r="I427" s="482">
        <f ca="1">IF(OR('B. Implementation Plan'!M414="Y",'B. Implementation Plan'!M414="Yes"),'B. Implementation Plan'!N414*(SUM(I417:I422)),SUM(I425:I426))</f>
        <v>0</v>
      </c>
      <c r="J427" s="482">
        <f ca="1">IF(OR('B. Implementation Plan'!M414="Y",'B. Implementation Plan'!M414="Yes"),'B. Implementation Plan'!N414*(SUM(J417:J422)),SUM(J425:J426))</f>
        <v>0</v>
      </c>
      <c r="K427" s="482">
        <f ca="1">IF(OR('B. Implementation Plan'!M414="Y",'B. Implementation Plan'!M414="Yes"),'B. Implementation Plan'!N414*(SUM(K417:K422)),SUM(K425:K426))</f>
        <v>0</v>
      </c>
      <c r="L427" s="482">
        <f ca="1">IF(OR('B. Implementation Plan'!M414="Y",'B. Implementation Plan'!M414="Yes"),'B. Implementation Plan'!N414*(SUM(L417:L422)),SUM(L425:L426))</f>
        <v>0</v>
      </c>
      <c r="M427" s="482">
        <f ca="1">IF(OR('B. Implementation Plan'!M414="Y",'B. Implementation Plan'!M414="Yes"),'B. Implementation Plan'!N414*(SUM(M417:M422)),SUM(M425:M426))</f>
        <v>0</v>
      </c>
      <c r="N427" s="482">
        <f ca="1">IF(OR('B. Implementation Plan'!M414="Y",'B. Implementation Plan'!M414="Yes"),'B. Implementation Plan'!N414*(SUM(N417:N422)),SUM(N425:N426))</f>
        <v>0</v>
      </c>
      <c r="O427" s="482">
        <f ca="1">IF(OR('B. Implementation Plan'!M414="Y",'B. Implementation Plan'!M414="Yes"),'B. Implementation Plan'!N414*(SUM(O417:O422)),SUM(O425:O426))</f>
        <v>0</v>
      </c>
      <c r="P427" s="488">
        <f t="shared" ca="1" si="251"/>
        <v>0</v>
      </c>
    </row>
    <row r="428" spans="3:16" s="1" customFormat="1" x14ac:dyDescent="0.3">
      <c r="C428" s="1" t="s">
        <v>682</v>
      </c>
      <c r="E428" s="485">
        <f t="shared" ref="E428:O428" ca="1" si="252">SUM(E417:E424,E427)</f>
        <v>0</v>
      </c>
      <c r="F428" s="485">
        <f t="shared" ca="1" si="252"/>
        <v>0</v>
      </c>
      <c r="G428" s="485">
        <f t="shared" ca="1" si="252"/>
        <v>0</v>
      </c>
      <c r="H428" s="485">
        <f t="shared" ca="1" si="252"/>
        <v>0</v>
      </c>
      <c r="I428" s="485">
        <f t="shared" ca="1" si="252"/>
        <v>0</v>
      </c>
      <c r="J428" s="485">
        <f t="shared" ca="1" si="252"/>
        <v>0</v>
      </c>
      <c r="K428" s="485">
        <f t="shared" ca="1" si="252"/>
        <v>0</v>
      </c>
      <c r="L428" s="485">
        <f t="shared" ca="1" si="252"/>
        <v>0</v>
      </c>
      <c r="M428" s="485">
        <f t="shared" ca="1" si="252"/>
        <v>0</v>
      </c>
      <c r="N428" s="485">
        <f t="shared" ca="1" si="252"/>
        <v>0</v>
      </c>
      <c r="O428" s="485">
        <f t="shared" ca="1" si="252"/>
        <v>0</v>
      </c>
      <c r="P428" s="489">
        <f t="shared" ca="1" si="251"/>
        <v>0</v>
      </c>
    </row>
    <row r="429" spans="3:16" x14ac:dyDescent="0.3">
      <c r="C429" t="s">
        <v>695</v>
      </c>
      <c r="E429" s="482">
        <f ca="1">E428*'B. Implementation Plan'!P415</f>
        <v>0</v>
      </c>
      <c r="F429" s="482">
        <f ca="1">F428*'B. Implementation Plan'!P415</f>
        <v>0</v>
      </c>
      <c r="G429" s="482">
        <f ca="1">G428*'B. Implementation Plan'!P415</f>
        <v>0</v>
      </c>
      <c r="H429" s="482">
        <f ca="1">H428*'B. Implementation Plan'!P415</f>
        <v>0</v>
      </c>
      <c r="I429" s="482">
        <f ca="1">I428*'B. Implementation Plan'!P415</f>
        <v>0</v>
      </c>
      <c r="J429" s="482">
        <f ca="1">J428*'B. Implementation Plan'!P415</f>
        <v>0</v>
      </c>
      <c r="K429" s="482">
        <f ca="1">K428*'B. Implementation Plan'!P415</f>
        <v>0</v>
      </c>
      <c r="L429" s="482">
        <f ca="1">L428*'B. Implementation Plan'!P415</f>
        <v>0</v>
      </c>
      <c r="M429" s="482">
        <f ca="1">M428*'B. Implementation Plan'!P415</f>
        <v>0</v>
      </c>
      <c r="N429" s="482">
        <f ca="1">N428*'B. Implementation Plan'!P415</f>
        <v>0</v>
      </c>
      <c r="O429" s="482">
        <f ca="1">O428*'B. Implementation Plan'!P415</f>
        <v>0</v>
      </c>
      <c r="P429" s="488">
        <f t="shared" ca="1" si="251"/>
        <v>0</v>
      </c>
    </row>
    <row r="430" spans="3:16" x14ac:dyDescent="0.3">
      <c r="C430" s="498" t="s">
        <v>680</v>
      </c>
      <c r="E430" s="482">
        <f ca="1">IF(OR('B. Implementation Plan'!M419="Y",'B. Implementation Plan'!M419="Yes"),'B. Implementation Plan'!N419*SUM(E417:E424),E409*'B. Implementation Plan'!E419)</f>
        <v>0</v>
      </c>
      <c r="F430" s="482">
        <f ca="1">IF(OR('B. Implementation Plan'!M419="Y",'B. Implementation Plan'!M419="Yes"),'B. Implementation Plan'!N419*SUM(F417:F424),F409*'B. Implementation Plan'!E419)</f>
        <v>0</v>
      </c>
      <c r="G430" s="482">
        <f ca="1">IF(OR('B. Implementation Plan'!M419="Y",'B. Implementation Plan'!M419="Yes"),'B. Implementation Plan'!N419*SUM(G417:G424),G409*'B. Implementation Plan'!E419)</f>
        <v>0</v>
      </c>
      <c r="H430" s="482">
        <f ca="1">IF(OR('B. Implementation Plan'!M419="Y",'B. Implementation Plan'!M419="Yes"),'B. Implementation Plan'!N419*SUM(H417:H424),H409*'B. Implementation Plan'!E419)</f>
        <v>0</v>
      </c>
      <c r="I430" s="482">
        <f ca="1">IF(OR('B. Implementation Plan'!M419="Y",'B. Implementation Plan'!M419="Yes"),'B. Implementation Plan'!N419*SUM(I417:I424),I409*'B. Implementation Plan'!E419)</f>
        <v>0</v>
      </c>
      <c r="J430" s="482">
        <f ca="1">IF(OR('B. Implementation Plan'!M419="Y",'B. Implementation Plan'!M419="Yes"),'B. Implementation Plan'!N419*SUM(J417:J424),J409*'B. Implementation Plan'!E419)</f>
        <v>0</v>
      </c>
      <c r="K430" s="482">
        <f ca="1">IF(OR('B. Implementation Plan'!M419="Y",'B. Implementation Plan'!M419="Yes"),'B. Implementation Plan'!N419*SUM(K417:K424),K409*'B. Implementation Plan'!E419)</f>
        <v>0</v>
      </c>
      <c r="L430" s="482">
        <f ca="1">IF(OR('B. Implementation Plan'!M419="Y",'B. Implementation Plan'!M419="Yes"),'B. Implementation Plan'!N419*SUM(L417:L424),L409*'B. Implementation Plan'!E419)</f>
        <v>0</v>
      </c>
      <c r="M430" s="482">
        <f ca="1">IF(OR('B. Implementation Plan'!M419="Y",'B. Implementation Plan'!M419="Yes"),'B. Implementation Plan'!N419*SUM(M417:M424),M409*'B. Implementation Plan'!E419)</f>
        <v>0</v>
      </c>
      <c r="N430" s="482">
        <f ca="1">IF(OR('B. Implementation Plan'!M419="Y",'B. Implementation Plan'!M419="Yes"),'B. Implementation Plan'!N419*SUM(N417:N424),N409*'B. Implementation Plan'!E419)</f>
        <v>0</v>
      </c>
      <c r="O430" s="482">
        <f ca="1">IF(OR('B. Implementation Plan'!M419="Y",'B. Implementation Plan'!M419="Yes"),'B. Implementation Plan'!N419*SUM(O417:O424),O409*'B. Implementation Plan'!E419)</f>
        <v>0</v>
      </c>
      <c r="P430" s="488">
        <f t="shared" ca="1" si="251"/>
        <v>0</v>
      </c>
    </row>
    <row r="431" spans="3:16" ht="15" thickBot="1" x14ac:dyDescent="0.35">
      <c r="C431" s="1" t="s">
        <v>716</v>
      </c>
      <c r="E431" s="485">
        <f ca="1">SUM(E428:E430)</f>
        <v>0</v>
      </c>
      <c r="F431" s="485">
        <f t="shared" ref="F431:O431" ca="1" si="253">SUM(F428:F430)</f>
        <v>0</v>
      </c>
      <c r="G431" s="485">
        <f t="shared" ca="1" si="253"/>
        <v>0</v>
      </c>
      <c r="H431" s="485">
        <f t="shared" ca="1" si="253"/>
        <v>0</v>
      </c>
      <c r="I431" s="485">
        <f t="shared" ca="1" si="253"/>
        <v>0</v>
      </c>
      <c r="J431" s="485">
        <f t="shared" ca="1" si="253"/>
        <v>0</v>
      </c>
      <c r="K431" s="485">
        <f t="shared" ca="1" si="253"/>
        <v>0</v>
      </c>
      <c r="L431" s="485">
        <f t="shared" ca="1" si="253"/>
        <v>0</v>
      </c>
      <c r="M431" s="485">
        <f t="shared" ca="1" si="253"/>
        <v>0</v>
      </c>
      <c r="N431" s="485">
        <f t="shared" ca="1" si="253"/>
        <v>0</v>
      </c>
      <c r="O431" s="487">
        <f t="shared" ca="1" si="253"/>
        <v>0</v>
      </c>
      <c r="P431" s="490">
        <f t="shared" ca="1" si="251"/>
        <v>0</v>
      </c>
    </row>
    <row r="432" spans="3:16" x14ac:dyDescent="0.3">
      <c r="P432"/>
    </row>
    <row r="433" spans="1:16" ht="16.2" thickBot="1" x14ac:dyDescent="0.35">
      <c r="B433" s="253" t="s">
        <v>691</v>
      </c>
      <c r="C433" s="254"/>
      <c r="E433" s="469"/>
      <c r="P433"/>
    </row>
    <row r="434" spans="1:16" s="365" customFormat="1" ht="14.55" customHeight="1" x14ac:dyDescent="0.3">
      <c r="A434" s="1"/>
      <c r="B434" s="62"/>
      <c r="D434" s="394"/>
      <c r="E434" s="294">
        <v>0</v>
      </c>
      <c r="F434" s="294">
        <v>1</v>
      </c>
      <c r="G434" s="294">
        <v>2</v>
      </c>
      <c r="H434" s="294">
        <v>3</v>
      </c>
      <c r="I434" s="294">
        <v>4</v>
      </c>
      <c r="J434" s="294">
        <v>5</v>
      </c>
      <c r="K434" s="294">
        <v>6</v>
      </c>
      <c r="L434" s="294">
        <v>7</v>
      </c>
      <c r="M434" s="294">
        <v>8</v>
      </c>
      <c r="N434" s="294">
        <v>9</v>
      </c>
      <c r="O434" s="295">
        <v>10</v>
      </c>
      <c r="P434" s="395" t="s">
        <v>2</v>
      </c>
    </row>
    <row r="435" spans="1:16" s="1" customFormat="1" ht="14.55" customHeight="1" x14ac:dyDescent="0.3">
      <c r="B435" s="62"/>
      <c r="C435" s="1" t="s">
        <v>826</v>
      </c>
      <c r="D435" s="394"/>
      <c r="E435" s="486">
        <f ca="1">E410*'B. Implementation Plan'!P214*(1+E19)^E434</f>
        <v>0</v>
      </c>
      <c r="F435" s="486">
        <f ca="1">F410*'B. Implementation Plan'!P214*(1+E19)^F434</f>
        <v>0</v>
      </c>
      <c r="G435" s="486">
        <f ca="1">G410*'B. Implementation Plan'!P214*(1+E19)^G434</f>
        <v>0</v>
      </c>
      <c r="H435" s="486">
        <f ca="1">H410*'B. Implementation Plan'!P214*(1+E19)^H434</f>
        <v>0</v>
      </c>
      <c r="I435" s="486">
        <f ca="1">I410*'B. Implementation Plan'!P214*(1+E19)^I434</f>
        <v>0</v>
      </c>
      <c r="J435" s="486">
        <f ca="1">J410*'B. Implementation Plan'!P214*(1+E19)^J434</f>
        <v>0</v>
      </c>
      <c r="K435" s="486">
        <f ca="1">K410*'B. Implementation Plan'!P214*(1+E19)^K434</f>
        <v>0</v>
      </c>
      <c r="L435" s="486">
        <f ca="1">L410*'B. Implementation Plan'!P214*(1+E19)^L434</f>
        <v>0</v>
      </c>
      <c r="M435" s="486">
        <f ca="1">M410*'B. Implementation Plan'!P214*(1+E19)^M434</f>
        <v>0</v>
      </c>
      <c r="N435" s="486">
        <f ca="1">N410*'B. Implementation Plan'!P214*(1+E19)^N434</f>
        <v>0</v>
      </c>
      <c r="O435" s="486">
        <f ca="1">O410*'B. Implementation Plan'!P214*(1+E19)^O434</f>
        <v>0</v>
      </c>
      <c r="P435" s="489">
        <f t="shared" ref="P435:P448" ca="1" si="254">IF(O435=0,IF(N435=0,IF(M435=0,IF(L435=0,IF(K435=0,IF(J435=0,IF(I435=0,IF(H435=0,IF(G435=0,IF(F435=0,E435,F435),G435),H435),I435),J435),K435),L435),M435),N435),O435)</f>
        <v>0</v>
      </c>
    </row>
    <row r="436" spans="1:16" s="365" customFormat="1" ht="14.55" customHeight="1" x14ac:dyDescent="0.3">
      <c r="A436" s="1"/>
      <c r="B436" s="62"/>
      <c r="C436" s="433" t="s">
        <v>712</v>
      </c>
      <c r="D436" s="394"/>
      <c r="E436" s="482">
        <f ca="1">IFERROR(IF(OR('B. Implementation Plan'!K442="Y",'B. Implementation Plan'!K442="Yes"),((E362/E365*E357)*'B. Implementation Plan'!L442+(E363/E365*E357)*'B. Implementation Plan'!M442+(E364/E365*E357)*'B. Implementation Plan'!N442)*(1+E347)^E434,((E362/E365*E357)*'B. Implementation Plan'!E442+(E363/E365*E357)*'B. Implementation Plan'!F442+(E364/E365*E357)*'B. Implementation Plan'!G442)*(1+E19)^E434),0)</f>
        <v>0</v>
      </c>
      <c r="F436" s="482">
        <f ca="1">IFERROR(IF(OR('B. Implementation Plan'!K442="Y",'B. Implementation Plan'!K442="Yes"),((F362/F365*F357)*'B. Implementation Plan'!L442+(F363/F365*F357)*'B. Implementation Plan'!M442+(F364/F365*F357)*'B. Implementation Plan'!N442)*(1+E347)^F434,((F362/F365*F357)*'B. Implementation Plan'!E442+(F363/F365*F357)*'B. Implementation Plan'!F442+(F364/F365*F357)*'B. Implementation Plan'!G442)*(1+E19)^F434),0)</f>
        <v>0</v>
      </c>
      <c r="G436" s="482">
        <f ca="1">IFERROR(IF(OR('B. Implementation Plan'!K442="Y",'B. Implementation Plan'!K442="Yes"),((G362/G365*G357)*'B. Implementation Plan'!L442+(G363/G365*G357)*'B. Implementation Plan'!M442+(G364/G365*G357)*'B. Implementation Plan'!N442)*(1+E347)^G434,((G362/G365*G357)*'B. Implementation Plan'!E442+(G363/G365*G357)*'B. Implementation Plan'!F442+(G364/G365*G357)*'B. Implementation Plan'!G442)*(1+E19)^G434),0)</f>
        <v>0</v>
      </c>
      <c r="H436" s="482">
        <f ca="1">IFERROR(IF(OR('B. Implementation Plan'!K442="Y",'B. Implementation Plan'!K442="Yes"),((H362/H365*H357)*'B. Implementation Plan'!L442+(H363/H365*H357)*'B. Implementation Plan'!M442+(H364/H365*H357)*'B. Implementation Plan'!N442)*(1+E347)^H434,((H362/H365*H357)*'B. Implementation Plan'!E442+(H363/H365*H357)*'B. Implementation Plan'!F442+(H364/H365*H357)*'B. Implementation Plan'!G442)*(1+E19)^H434),0)</f>
        <v>0</v>
      </c>
      <c r="I436" s="482">
        <f ca="1">IFERROR(IF(OR('B. Implementation Plan'!K442="Y",'B. Implementation Plan'!K442="Yes"),((I362/I365*I357)*'B. Implementation Plan'!L442+(I363/I365*I357)*'B. Implementation Plan'!M442+(I364/I365*I357)*'B. Implementation Plan'!N442)*(1+E347)^I434,((I362/I365*I357)*'B. Implementation Plan'!E442+(I363/I365*I357)*'B. Implementation Plan'!F442+(I364/I365*I357)*'B. Implementation Plan'!G442)*(1+E19)^I434),0)</f>
        <v>0</v>
      </c>
      <c r="J436" s="482">
        <f ca="1">IFERROR(IF(OR('B. Implementation Plan'!K442="Y",'B. Implementation Plan'!K442="Yes"),((J362/J365*J357)*'B. Implementation Plan'!L442+(J363/J365*J357)*'B. Implementation Plan'!M442+(J364/J365*J357)*'B. Implementation Plan'!N442)*(1+E347)^J434,((J362/J365*J357)*'B. Implementation Plan'!E442+(J363/J365*J357)*'B. Implementation Plan'!F442+(J364/J365*J357)*'B. Implementation Plan'!G442)*(1+E19)^J434),0)</f>
        <v>0</v>
      </c>
      <c r="K436" s="482">
        <f ca="1">IFERROR(IF(OR('B. Implementation Plan'!K442="Y",'B. Implementation Plan'!K442="Yes"),((K362/K365*K357)*'B. Implementation Plan'!L442+(K363/K365*K357)*'B. Implementation Plan'!M442+(K364/K365*K357)*'B. Implementation Plan'!N442)*(1+E347)^K434,((K362/K365*K357)*'B. Implementation Plan'!E442+(K363/K365*K357)*'B. Implementation Plan'!F442+(K364/K365*K357)*'B. Implementation Plan'!G442)*(1+E19)^K434),0)</f>
        <v>0</v>
      </c>
      <c r="L436" s="482">
        <f ca="1">IFERROR(IF(OR('B. Implementation Plan'!K442="Y",'B. Implementation Plan'!K442="Yes"),((L362/L365*L357)*'B. Implementation Plan'!L442+(L363/L365*L357)*'B. Implementation Plan'!M442+(L364/L365*L357)*'B. Implementation Plan'!N442)*(1+E347)^L434,((L362/L365*L357)*'B. Implementation Plan'!E442+(L363/L365*L357)*'B. Implementation Plan'!F442+(L364/L365*L357)*'B. Implementation Plan'!G442)*(1+E19)^L434),0)</f>
        <v>0</v>
      </c>
      <c r="M436" s="482">
        <f ca="1">IFERROR(IF(OR('B. Implementation Plan'!K442="Y",'B. Implementation Plan'!K442="Yes"),((M362/M365*M357)*'B. Implementation Plan'!L442+(M363/M365*M357)*'B. Implementation Plan'!M442+(M364/M365*M357)*'B. Implementation Plan'!N442)*(1+E347)^M434,((M362/M365*M357)*'B. Implementation Plan'!E442+(M363/M365*M357)*'B. Implementation Plan'!F442+(M364/M365*M357)*'B. Implementation Plan'!G442)*(1+E19)^M434),0)</f>
        <v>0</v>
      </c>
      <c r="N436" s="482">
        <f ca="1">IFERROR(IF(OR('B. Implementation Plan'!K442="Y",'B. Implementation Plan'!K442="Yes"),((N362/N365*N357)*'B. Implementation Plan'!L442+(N363/N365*N357)*'B. Implementation Plan'!M442+(N364/N365*N357)*'B. Implementation Plan'!N442)*(1+E347)^N434,((N362/N365*N357)*'B. Implementation Plan'!E442+(N363/N365*N357)*'B. Implementation Plan'!F442+(N364/N365*N357)*'B. Implementation Plan'!G442)*(1+E19)^N434),0)</f>
        <v>0</v>
      </c>
      <c r="O436" s="482">
        <f ca="1">IFERROR(IF(OR('B. Implementation Plan'!K442="Y",'B. Implementation Plan'!K442="Yes"),((O362/O365*O357)*'B. Implementation Plan'!L442+(O363/O365*O357)*'B. Implementation Plan'!M442+(O364/O365*O357)*'B. Implementation Plan'!N442)*(1+E347)^O434,((O362/O365*O357)*'B. Implementation Plan'!E442+(O363/O365*O357)*'B. Implementation Plan'!F442+(O364/O365*O357)*'B. Implementation Plan'!G442)*(1+E19)^O434),0)</f>
        <v>0</v>
      </c>
      <c r="P436" s="488">
        <f t="shared" ca="1" si="254"/>
        <v>0</v>
      </c>
    </row>
    <row r="437" spans="1:16" s="365" customFormat="1" ht="14.55" customHeight="1" x14ac:dyDescent="0.3">
      <c r="A437" s="1"/>
      <c r="B437" s="62"/>
      <c r="C437" s="433" t="s">
        <v>693</v>
      </c>
      <c r="D437" s="394"/>
      <c r="E437" s="482">
        <f ca="1">E357*'B. Implementation Plan'!E465*(1+E19)^E434</f>
        <v>0</v>
      </c>
      <c r="F437" s="482">
        <f ca="1">F357*'B. Implementation Plan'!E465*(1+E19)^F434</f>
        <v>0</v>
      </c>
      <c r="G437" s="482">
        <f ca="1">G357*'B. Implementation Plan'!E465*(1+E19)^G434</f>
        <v>0</v>
      </c>
      <c r="H437" s="482">
        <f ca="1">H357*'B. Implementation Plan'!E465*(1+E19)^H434</f>
        <v>0</v>
      </c>
      <c r="I437" s="482">
        <f ca="1">I357*'B. Implementation Plan'!E465*(1+E19)^I434</f>
        <v>0</v>
      </c>
      <c r="J437" s="482">
        <f ca="1">J357*'B. Implementation Plan'!E465*(1+E19)^J434</f>
        <v>0</v>
      </c>
      <c r="K437" s="482">
        <f ca="1">K357*'B. Implementation Plan'!E465*(1+E19)^K434</f>
        <v>0</v>
      </c>
      <c r="L437" s="482">
        <f ca="1">L357*'B. Implementation Plan'!E465*(1+E19)^L434</f>
        <v>0</v>
      </c>
      <c r="M437" s="482">
        <f ca="1">M357*'B. Implementation Plan'!E465*(1+E19)^M434</f>
        <v>0</v>
      </c>
      <c r="N437" s="482">
        <f ca="1">N357*'B. Implementation Plan'!E465*(1+E19)^N434</f>
        <v>0</v>
      </c>
      <c r="O437" s="482">
        <f ca="1">O357*'B. Implementation Plan'!E465*(1+E19)^O434</f>
        <v>0</v>
      </c>
      <c r="P437" s="488">
        <f t="shared" ca="1" si="254"/>
        <v>0</v>
      </c>
    </row>
    <row r="438" spans="1:16" s="365" customFormat="1" ht="14.55" customHeight="1" x14ac:dyDescent="0.3">
      <c r="A438" s="1"/>
      <c r="B438" s="62"/>
      <c r="C438" s="420" t="s">
        <v>692</v>
      </c>
      <c r="D438" s="394"/>
      <c r="E438" s="482">
        <f ca="1">E357*'B. Implementation Plan'!E466*(1+E19)^E434</f>
        <v>0</v>
      </c>
      <c r="F438" s="482">
        <f ca="1">F357*'B. Implementation Plan'!E466*(1+E19)^F434</f>
        <v>0</v>
      </c>
      <c r="G438" s="482">
        <f ca="1">G357*'B. Implementation Plan'!E466*(1+E19)^G434</f>
        <v>0</v>
      </c>
      <c r="H438" s="482">
        <f ca="1">H357*'B. Implementation Plan'!E466*(1+E19)^H434</f>
        <v>0</v>
      </c>
      <c r="I438" s="482">
        <f ca="1">I357*'B. Implementation Plan'!E466*(1+E19)^I434</f>
        <v>0</v>
      </c>
      <c r="J438" s="482">
        <f ca="1">J357*'B. Implementation Plan'!E466*(1+E19)^J434</f>
        <v>0</v>
      </c>
      <c r="K438" s="482">
        <f ca="1">K357*'B. Implementation Plan'!E466*(1+E19)^K434</f>
        <v>0</v>
      </c>
      <c r="L438" s="482">
        <f ca="1">L357*'B. Implementation Plan'!E466*(1+E19)^L434</f>
        <v>0</v>
      </c>
      <c r="M438" s="482">
        <f ca="1">M357*'B. Implementation Plan'!E466*(1+E19)^M434</f>
        <v>0</v>
      </c>
      <c r="N438" s="482">
        <f ca="1">N357*'B. Implementation Plan'!E466*(1+E19)^N434</f>
        <v>0</v>
      </c>
      <c r="O438" s="482">
        <f ca="1">O357*'B. Implementation Plan'!E466*(1+E19)^O434</f>
        <v>0</v>
      </c>
      <c r="P438" s="488">
        <f t="shared" ca="1" si="254"/>
        <v>0</v>
      </c>
    </row>
    <row r="439" spans="1:16" x14ac:dyDescent="0.3">
      <c r="C439" s="1" t="s">
        <v>717</v>
      </c>
      <c r="E439" s="485">
        <f ca="1">SUM(E436:E438)</f>
        <v>0</v>
      </c>
      <c r="F439" s="485">
        <f t="shared" ref="F439:O439" ca="1" si="255">SUM(F436:F438)</f>
        <v>0</v>
      </c>
      <c r="G439" s="485">
        <f t="shared" ca="1" si="255"/>
        <v>0</v>
      </c>
      <c r="H439" s="485">
        <f t="shared" ca="1" si="255"/>
        <v>0</v>
      </c>
      <c r="I439" s="485">
        <f t="shared" ca="1" si="255"/>
        <v>0</v>
      </c>
      <c r="J439" s="485">
        <f t="shared" ca="1" si="255"/>
        <v>0</v>
      </c>
      <c r="K439" s="485">
        <f t="shared" ca="1" si="255"/>
        <v>0</v>
      </c>
      <c r="L439" s="485">
        <f t="shared" ca="1" si="255"/>
        <v>0</v>
      </c>
      <c r="M439" s="485">
        <f t="shared" ca="1" si="255"/>
        <v>0</v>
      </c>
      <c r="N439" s="485">
        <f t="shared" ca="1" si="255"/>
        <v>0</v>
      </c>
      <c r="O439" s="485">
        <f t="shared" ca="1" si="255"/>
        <v>0</v>
      </c>
      <c r="P439" s="489">
        <f t="shared" ca="1" si="254"/>
        <v>0</v>
      </c>
    </row>
    <row r="440" spans="1:16" x14ac:dyDescent="0.3">
      <c r="C440" s="396" t="s">
        <v>713</v>
      </c>
      <c r="E440" s="482">
        <f ca="1">IF(OR('B. Implementation Plan'!K452="Yes",'B. Implementation Plan'!K452="Y"),E361*'B. Implementation Plan'!N452*(1+E19)^E434,E361*'B. Implementation Plan'!E452*(1+E19)^E434)</f>
        <v>0</v>
      </c>
      <c r="F440" s="482">
        <f ca="1">IF(OR('B. Implementation Plan'!K452="Yes",'B. Implementation Plan'!K452="Y"),F361*'B. Implementation Plan'!N452*(1+E19)^F434,F361*'B. Implementation Plan'!E452*(1+E19)^F434)</f>
        <v>0</v>
      </c>
      <c r="G440" s="482">
        <f ca="1">IF(OR('B. Implementation Plan'!K452="Yes",'B. Implementation Plan'!K452="Y"),G361*'B. Implementation Plan'!N452*(1+E19)^G434,G361*'B. Implementation Plan'!E452*(1+E19)^G434)</f>
        <v>0</v>
      </c>
      <c r="H440" s="482">
        <f ca="1">IF(OR('B. Implementation Plan'!K452="Yes",'B. Implementation Plan'!K452="Y"),H361*'B. Implementation Plan'!N452*(1+E19)^H434,H361*'B. Implementation Plan'!E452*(1+E19)^H434)</f>
        <v>0</v>
      </c>
      <c r="I440" s="482">
        <f ca="1">IF(OR('B. Implementation Plan'!K452="Yes",'B. Implementation Plan'!K452="Y"),I361*'B. Implementation Plan'!N452*(1+E19)^I434,I361*'B. Implementation Plan'!E452*(1+E19)^I434)</f>
        <v>0</v>
      </c>
      <c r="J440" s="482">
        <f ca="1">IF(OR('B. Implementation Plan'!K452="Yes",'B. Implementation Plan'!K452="Y"),J361*'B. Implementation Plan'!N452*(1+E19)^J434,J361*'B. Implementation Plan'!E452*(1+E19)^J434)</f>
        <v>0</v>
      </c>
      <c r="K440" s="482">
        <f ca="1">IF(OR('B. Implementation Plan'!K452="Yes",'B. Implementation Plan'!K452="Y"),K361*'B. Implementation Plan'!N452*(1+E19)^K434,K361*'B. Implementation Plan'!E452*(1+E19)^K434)</f>
        <v>0</v>
      </c>
      <c r="L440" s="482">
        <f ca="1">IF(OR('B. Implementation Plan'!K452="Yes",'B. Implementation Plan'!K452="Y"),L361*'B. Implementation Plan'!N452*(1+E19)^L434,L361*'B. Implementation Plan'!E452*(1+E19)^L434)</f>
        <v>0</v>
      </c>
      <c r="M440" s="482">
        <f ca="1">IF(OR('B. Implementation Plan'!K452="Yes",'B. Implementation Plan'!K452="Y"),M361*'B. Implementation Plan'!N452*(1+E19)^M434,M361*'B. Implementation Plan'!E452*(1+E19)^M434)</f>
        <v>0</v>
      </c>
      <c r="N440" s="482">
        <f ca="1">IF(OR('B. Implementation Plan'!K452="Yes",'B. Implementation Plan'!K452="Y"),N361*'B. Implementation Plan'!N452*(1+E19)^N434,N361*'B. Implementation Plan'!E452*(1+E19)^N434)</f>
        <v>0</v>
      </c>
      <c r="O440" s="482">
        <f ca="1">IF(OR('B. Implementation Plan'!K452="Yes",'B. Implementation Plan'!K452="Y"),O361*'B. Implementation Plan'!N452*(1+E19)^O434,O361*'B. Implementation Plan'!E452*(1+E19)^O434)</f>
        <v>0</v>
      </c>
      <c r="P440" s="488">
        <f t="shared" ca="1" si="254"/>
        <v>0</v>
      </c>
    </row>
    <row r="441" spans="1:16" x14ac:dyDescent="0.3">
      <c r="C441" s="420" t="s">
        <v>694</v>
      </c>
      <c r="E441" s="482">
        <f ca="1">IF(OR('B. Implementation Plan'!K488="Y",'B. Implementation Plan'!K488="Yes"),E361*'B. Implementation Plan'!L488*(1+E19)^E434,E361*'B. Implementation Plan'!E488*(1+E19)^E434)</f>
        <v>0</v>
      </c>
      <c r="F441" s="482">
        <f ca="1">IF(OR('B. Implementation Plan'!K488="Y",'B. Implementation Plan'!K488="Yes"),F361*'B. Implementation Plan'!L488*(1+E19)^F434,F361*'B. Implementation Plan'!E488*(1+E19)^F434)</f>
        <v>0</v>
      </c>
      <c r="G441" s="482">
        <f ca="1">IF(OR('B. Implementation Plan'!K488="Y",'B. Implementation Plan'!K488="Yes"),G361*'B. Implementation Plan'!L488*(1+E19)^G434,G361*'B. Implementation Plan'!E488*(1+E19)^G434)</f>
        <v>0</v>
      </c>
      <c r="H441" s="482">
        <f ca="1">IF(OR('B. Implementation Plan'!K488="Y",'B. Implementation Plan'!K488="Yes"),H361*'B. Implementation Plan'!L488*(1+E19)^H434,H361*'B. Implementation Plan'!E488*(1+E19)^H434)</f>
        <v>0</v>
      </c>
      <c r="I441" s="482">
        <f ca="1">IF(OR('B. Implementation Plan'!K488="Y",'B. Implementation Plan'!K488="Yes"),I361*'B. Implementation Plan'!L488*(1+E19)^I434,I361*'B. Implementation Plan'!E488*(1+E19)^I434)</f>
        <v>0</v>
      </c>
      <c r="J441" s="482">
        <f ca="1">IF(OR('B. Implementation Plan'!K488="Y",'B. Implementation Plan'!K488="Yes"),J361*'B. Implementation Plan'!L488*(1+E19)^J434,J361*'B. Implementation Plan'!E488*(1+E19)^J434)</f>
        <v>0</v>
      </c>
      <c r="K441" s="482">
        <f ca="1">IF(OR('B. Implementation Plan'!K488="Y",'B. Implementation Plan'!K488="Yes"),K361*'B. Implementation Plan'!L488*(1+E19)^K434,K361*'B. Implementation Plan'!E488*(1+E19)^K434)</f>
        <v>0</v>
      </c>
      <c r="L441" s="482">
        <f ca="1">IF(OR('B. Implementation Plan'!K488="Y",'B. Implementation Plan'!K488="Yes"),L361*'B. Implementation Plan'!L488*(1+E19)^L434,L361*'B. Implementation Plan'!E488*(1+E19)^L434)</f>
        <v>0</v>
      </c>
      <c r="M441" s="482">
        <f ca="1">IF(OR('B. Implementation Plan'!K488="Y",'B. Implementation Plan'!K488="Yes"),M361*'B. Implementation Plan'!L488*(1+E19)^M434,M361*'B. Implementation Plan'!E488*(1+E19)^M434)</f>
        <v>0</v>
      </c>
      <c r="N441" s="482">
        <f ca="1">IF(OR('B. Implementation Plan'!K488="Y",'B. Implementation Plan'!K488="Yes"),N361*'B. Implementation Plan'!L488*(1+E19)^N434,N361*'B. Implementation Plan'!E488*(1+E19)^N434)</f>
        <v>0</v>
      </c>
      <c r="O441" s="482">
        <f ca="1">IF(OR('B. Implementation Plan'!K488="Y",'B. Implementation Plan'!K488="Yes"),O361*'B. Implementation Plan'!L488*(1+E19)^O434,O361*'B. Implementation Plan'!E488*(1+E19)^O434)</f>
        <v>0</v>
      </c>
      <c r="P441" s="488">
        <f t="shared" ca="1" si="254"/>
        <v>0</v>
      </c>
    </row>
    <row r="442" spans="1:16" x14ac:dyDescent="0.3">
      <c r="C442" s="1" t="s">
        <v>711</v>
      </c>
      <c r="E442" s="485">
        <f ca="1">E440+E441</f>
        <v>0</v>
      </c>
      <c r="F442" s="485">
        <f t="shared" ref="F442:O442" ca="1" si="256">F440+F441</f>
        <v>0</v>
      </c>
      <c r="G442" s="485">
        <f t="shared" ca="1" si="256"/>
        <v>0</v>
      </c>
      <c r="H442" s="485">
        <f t="shared" ca="1" si="256"/>
        <v>0</v>
      </c>
      <c r="I442" s="485">
        <f t="shared" ca="1" si="256"/>
        <v>0</v>
      </c>
      <c r="J442" s="485">
        <f t="shared" ca="1" si="256"/>
        <v>0</v>
      </c>
      <c r="K442" s="485">
        <f t="shared" ca="1" si="256"/>
        <v>0</v>
      </c>
      <c r="L442" s="485">
        <f t="shared" ca="1" si="256"/>
        <v>0</v>
      </c>
      <c r="M442" s="485">
        <f t="shared" ca="1" si="256"/>
        <v>0</v>
      </c>
      <c r="N442" s="485">
        <f t="shared" ca="1" si="256"/>
        <v>0</v>
      </c>
      <c r="O442" s="485">
        <f t="shared" ca="1" si="256"/>
        <v>0</v>
      </c>
      <c r="P442" s="489">
        <f t="shared" ca="1" si="254"/>
        <v>0</v>
      </c>
    </row>
    <row r="443" spans="1:16" x14ac:dyDescent="0.3">
      <c r="C443" s="497" t="s">
        <v>722</v>
      </c>
      <c r="E443" s="485">
        <f ca="1">IF(E353&gt;0,IF(OR('B. Implementation Plan'!K458="Yes",'B. Implementation Plan'!K458="Y"),('B. Implementation Plan'!N458*(1+E19)^E434)*('B. Implementation Plan'!P354/'B. Implementation Plan'!P355),('B. Implementation Plan'!E458*(1+E19)^E434)*('B. Implementation Plan'!P354/'B. Implementation Plan'!P355)),0)</f>
        <v>0</v>
      </c>
      <c r="F443" s="485">
        <f ca="1">IF(F353&gt;0,IF(OR('B. Implementation Plan'!K458="Yes",'B. Implementation Plan'!K458="Y"),('B. Implementation Plan'!N458*(1+E19)^F434)*('B. Implementation Plan'!P354/'B. Implementation Plan'!P355),('B. Implementation Plan'!E458*(1+E19)^F434)*('B. Implementation Plan'!P354/'B. Implementation Plan'!P355)),0)</f>
        <v>0</v>
      </c>
      <c r="G443" s="485">
        <f ca="1">IF(G353&gt;0,IF(OR('B. Implementation Plan'!K458="Yes",'B. Implementation Plan'!K458="Y"),('B. Implementation Plan'!N458*(1+E19)^G434)*('B. Implementation Plan'!P354/'B. Implementation Plan'!P355),('B. Implementation Plan'!E458*(1+E19)^G434)*('B. Implementation Plan'!P354/'B. Implementation Plan'!P355)),0)</f>
        <v>0</v>
      </c>
      <c r="H443" s="485">
        <f ca="1">IF(H353&gt;0,IF(OR('B. Implementation Plan'!K458="Yes",'B. Implementation Plan'!K458="Y"),('B. Implementation Plan'!N458*(1+E19)^H434)*('B. Implementation Plan'!P354/'B. Implementation Plan'!P355),('B. Implementation Plan'!E458*(1+E19)^H434)*('B. Implementation Plan'!P354/'B. Implementation Plan'!P355)),0)</f>
        <v>0</v>
      </c>
      <c r="I443" s="485">
        <f ca="1">IF(I353&gt;0,IF(OR('B. Implementation Plan'!K458="Yes",'B. Implementation Plan'!K458="Y"),('B. Implementation Plan'!N458*(1+E19)^I434)*('B. Implementation Plan'!P354/'B. Implementation Plan'!P355),('B. Implementation Plan'!E458*(1+E19)^I434)*('B. Implementation Plan'!P354/'B. Implementation Plan'!P355)),0)</f>
        <v>0</v>
      </c>
      <c r="J443" s="485">
        <f ca="1">IF(J353&gt;0,IF(OR('B. Implementation Plan'!K458="Yes",'B. Implementation Plan'!K458="Y"),('B. Implementation Plan'!N458*(1+E19)^J434)*('B. Implementation Plan'!P354/'B. Implementation Plan'!P355),('B. Implementation Plan'!E458*(1+E19)^J434)*('B. Implementation Plan'!P354/'B. Implementation Plan'!P355)),0)</f>
        <v>0</v>
      </c>
      <c r="K443" s="485">
        <f ca="1">IF(K353&gt;0,IF(OR('B. Implementation Plan'!K458="Yes",'B. Implementation Plan'!K458="Y"),('B. Implementation Plan'!N458*(1+E19)^K434)*('B. Implementation Plan'!P354/'B. Implementation Plan'!P355),('B. Implementation Plan'!E458*(1+E19)^K434)*('B. Implementation Plan'!P354/'B. Implementation Plan'!P355)),0)</f>
        <v>0</v>
      </c>
      <c r="L443" s="485">
        <f ca="1">IF(L353&gt;0,IF(OR('B. Implementation Plan'!K458="Yes",'B. Implementation Plan'!K458="Y"),('B. Implementation Plan'!N458*(1+E19)^L434)*('B. Implementation Plan'!P354/'B. Implementation Plan'!P355),('B. Implementation Plan'!E458*(1+E19)^L434)*('B. Implementation Plan'!P354/'B. Implementation Plan'!P355)),0)</f>
        <v>0</v>
      </c>
      <c r="M443" s="485">
        <f ca="1">IF(M353&gt;0,IF(OR('B. Implementation Plan'!K458="Yes",'B. Implementation Plan'!K458="Y"),('B. Implementation Plan'!N458*(1+E19)^M434)*('B. Implementation Plan'!P354/'B. Implementation Plan'!P355),('B. Implementation Plan'!E458*(1+E19)^M434)*('B. Implementation Plan'!P354/'B. Implementation Plan'!P355)),0)</f>
        <v>0</v>
      </c>
      <c r="N443" s="485">
        <f ca="1">IF(N353&gt;0,IF(OR('B. Implementation Plan'!K458="Yes",'B. Implementation Plan'!K458="Y"),('B. Implementation Plan'!N458*(1+E19)^N434)*('B. Implementation Plan'!P354/'B. Implementation Plan'!P355),('B. Implementation Plan'!E458*(1+E19)^N434)*('B. Implementation Plan'!P354/'B. Implementation Plan'!P355)),0)</f>
        <v>0</v>
      </c>
      <c r="O443" s="485">
        <f ca="1">IF(O353&gt;0,IF(OR('B. Implementation Plan'!K458="Yes",'B. Implementation Plan'!K458="Y"),('B. Implementation Plan'!N458*(1+E19)^O434)*('B. Implementation Plan'!P354/'B. Implementation Plan'!P355),('B. Implementation Plan'!E458*(1+E19)^O434)*('B. Implementation Plan'!P354/'B. Implementation Plan'!P355)),0)</f>
        <v>0</v>
      </c>
      <c r="P443" s="489">
        <f t="shared" ca="1" si="254"/>
        <v>0</v>
      </c>
    </row>
    <row r="444" spans="1:16" s="1" customFormat="1" x14ac:dyDescent="0.3">
      <c r="C444" s="1" t="s">
        <v>697</v>
      </c>
      <c r="E444" s="485">
        <f t="shared" ref="E444:O444" ca="1" si="257">E435+E439+E442+E443</f>
        <v>0</v>
      </c>
      <c r="F444" s="485">
        <f t="shared" ca="1" si="257"/>
        <v>0</v>
      </c>
      <c r="G444" s="485">
        <f t="shared" ca="1" si="257"/>
        <v>0</v>
      </c>
      <c r="H444" s="485">
        <f t="shared" ca="1" si="257"/>
        <v>0</v>
      </c>
      <c r="I444" s="485">
        <f t="shared" ca="1" si="257"/>
        <v>0</v>
      </c>
      <c r="J444" s="485">
        <f t="shared" ca="1" si="257"/>
        <v>0</v>
      </c>
      <c r="K444" s="485">
        <f t="shared" ca="1" si="257"/>
        <v>0</v>
      </c>
      <c r="L444" s="485">
        <f t="shared" ca="1" si="257"/>
        <v>0</v>
      </c>
      <c r="M444" s="485">
        <f t="shared" ca="1" si="257"/>
        <v>0</v>
      </c>
      <c r="N444" s="485">
        <f t="shared" ca="1" si="257"/>
        <v>0</v>
      </c>
      <c r="O444" s="485">
        <f t="shared" ca="1" si="257"/>
        <v>0</v>
      </c>
      <c r="P444" s="489">
        <f t="shared" ca="1" si="254"/>
        <v>0</v>
      </c>
    </row>
    <row r="445" spans="1:16" x14ac:dyDescent="0.3">
      <c r="C445" s="433" t="s">
        <v>714</v>
      </c>
      <c r="E445" s="482">
        <f ca="1">'B. Implementation Plan'!G493*(E431+E444)</f>
        <v>0</v>
      </c>
      <c r="F445" s="482">
        <f ca="1">'B. Implementation Plan'!G493*(F431+F444)</f>
        <v>0</v>
      </c>
      <c r="G445" s="482">
        <f ca="1">'B. Implementation Plan'!G493*(G431+G444)</f>
        <v>0</v>
      </c>
      <c r="H445" s="482">
        <f ca="1">'B. Implementation Plan'!G493*(H431+H444)</f>
        <v>0</v>
      </c>
      <c r="I445" s="482">
        <f ca="1">'B. Implementation Plan'!G493*(I431+I444)</f>
        <v>0</v>
      </c>
      <c r="J445" s="482">
        <f ca="1">'B. Implementation Plan'!G493*(J431+J444)</f>
        <v>0</v>
      </c>
      <c r="K445" s="482">
        <f ca="1">'B. Implementation Plan'!G493*(K431+K444)</f>
        <v>0</v>
      </c>
      <c r="L445" s="482">
        <f ca="1">'B. Implementation Plan'!G493*(L431+L444)</f>
        <v>0</v>
      </c>
      <c r="M445" s="482">
        <f ca="1">'B. Implementation Plan'!G493*(M431+M444)</f>
        <v>0</v>
      </c>
      <c r="N445" s="482">
        <f ca="1">'B. Implementation Plan'!G493*(N431+N444)</f>
        <v>0</v>
      </c>
      <c r="O445" s="482">
        <f ca="1">'B. Implementation Plan'!G493*(O431+O444)</f>
        <v>0</v>
      </c>
      <c r="P445" s="488">
        <f t="shared" ca="1" si="254"/>
        <v>0</v>
      </c>
    </row>
    <row r="446" spans="1:16" x14ac:dyDescent="0.3">
      <c r="C446" s="420" t="s">
        <v>715</v>
      </c>
      <c r="E446" s="482">
        <f ca="1">'B. Implementation Plan'!G494*(E431+E444)</f>
        <v>0</v>
      </c>
      <c r="F446" s="482">
        <f ca="1">'B. Implementation Plan'!G494*(F431+F444)</f>
        <v>0</v>
      </c>
      <c r="G446" s="482">
        <f ca="1">'B. Implementation Plan'!G494*(G431+G444)</f>
        <v>0</v>
      </c>
      <c r="H446" s="482">
        <f ca="1">'B. Implementation Plan'!G494*(H431+H444)</f>
        <v>0</v>
      </c>
      <c r="I446" s="482">
        <f ca="1">'B. Implementation Plan'!G494*(I431+I444)</f>
        <v>0</v>
      </c>
      <c r="J446" s="482">
        <f ca="1">'B. Implementation Plan'!G494*(J431+J444)</f>
        <v>0</v>
      </c>
      <c r="K446" s="482">
        <f ca="1">'B. Implementation Plan'!G494*(K431+K444)</f>
        <v>0</v>
      </c>
      <c r="L446" s="482">
        <f ca="1">'B. Implementation Plan'!G494*(L431+L444)</f>
        <v>0</v>
      </c>
      <c r="M446" s="482">
        <f ca="1">'B. Implementation Plan'!G494*(M431+M444)</f>
        <v>0</v>
      </c>
      <c r="N446" s="482">
        <f ca="1">'B. Implementation Plan'!G494*(N431+N444)</f>
        <v>0</v>
      </c>
      <c r="O446" s="482">
        <f ca="1">'B. Implementation Plan'!G494*(O431+O444)</f>
        <v>0</v>
      </c>
      <c r="P446" s="488">
        <f t="shared" ca="1" si="254"/>
        <v>0</v>
      </c>
    </row>
    <row r="447" spans="1:16" x14ac:dyDescent="0.3">
      <c r="C447" s="484" t="s">
        <v>723</v>
      </c>
      <c r="E447" s="482">
        <f ca="1">E445+E446</f>
        <v>0</v>
      </c>
      <c r="F447" s="482">
        <f t="shared" ref="F447:O447" ca="1" si="258">F445+F446</f>
        <v>0</v>
      </c>
      <c r="G447" s="482">
        <f t="shared" ca="1" si="258"/>
        <v>0</v>
      </c>
      <c r="H447" s="482">
        <f t="shared" ca="1" si="258"/>
        <v>0</v>
      </c>
      <c r="I447" s="482">
        <f t="shared" ca="1" si="258"/>
        <v>0</v>
      </c>
      <c r="J447" s="482">
        <f t="shared" ca="1" si="258"/>
        <v>0</v>
      </c>
      <c r="K447" s="482">
        <f t="shared" ca="1" si="258"/>
        <v>0</v>
      </c>
      <c r="L447" s="482">
        <f t="shared" ca="1" si="258"/>
        <v>0</v>
      </c>
      <c r="M447" s="482">
        <f t="shared" ca="1" si="258"/>
        <v>0</v>
      </c>
      <c r="N447" s="482">
        <f t="shared" ca="1" si="258"/>
        <v>0</v>
      </c>
      <c r="O447" s="482">
        <f t="shared" ca="1" si="258"/>
        <v>0</v>
      </c>
      <c r="P447" s="488">
        <f t="shared" ca="1" si="254"/>
        <v>0</v>
      </c>
    </row>
    <row r="448" spans="1:16" x14ac:dyDescent="0.3">
      <c r="C448" s="1" t="s">
        <v>718</v>
      </c>
      <c r="E448" s="485">
        <f t="shared" ref="E448:O448" ca="1" si="259">E431+E444+E447</f>
        <v>0</v>
      </c>
      <c r="F448" s="485">
        <f t="shared" ca="1" si="259"/>
        <v>0</v>
      </c>
      <c r="G448" s="485">
        <f t="shared" ca="1" si="259"/>
        <v>0</v>
      </c>
      <c r="H448" s="485">
        <f t="shared" ca="1" si="259"/>
        <v>0</v>
      </c>
      <c r="I448" s="485">
        <f t="shared" ca="1" si="259"/>
        <v>0</v>
      </c>
      <c r="J448" s="485">
        <f t="shared" ca="1" si="259"/>
        <v>0</v>
      </c>
      <c r="K448" s="485">
        <f t="shared" ca="1" si="259"/>
        <v>0</v>
      </c>
      <c r="L448" s="485">
        <f t="shared" ca="1" si="259"/>
        <v>0</v>
      </c>
      <c r="M448" s="485">
        <f t="shared" ca="1" si="259"/>
        <v>0</v>
      </c>
      <c r="N448" s="485">
        <f t="shared" ca="1" si="259"/>
        <v>0</v>
      </c>
      <c r="O448" s="485">
        <f t="shared" ca="1" si="259"/>
        <v>0</v>
      </c>
      <c r="P448" s="489">
        <f t="shared" ca="1" si="254"/>
        <v>0</v>
      </c>
    </row>
    <row r="449" spans="1:16" x14ac:dyDescent="0.3">
      <c r="C449" s="1" t="s">
        <v>827</v>
      </c>
      <c r="E449" s="504">
        <f t="shared" ref="E449:O449" ca="1" si="260">E448*E353</f>
        <v>0</v>
      </c>
      <c r="F449" s="504">
        <f t="shared" ca="1" si="260"/>
        <v>0</v>
      </c>
      <c r="G449" s="504">
        <f t="shared" ca="1" si="260"/>
        <v>0</v>
      </c>
      <c r="H449" s="504">
        <f t="shared" ca="1" si="260"/>
        <v>0</v>
      </c>
      <c r="I449" s="504">
        <f t="shared" ca="1" si="260"/>
        <v>0</v>
      </c>
      <c r="J449" s="504">
        <f t="shared" ca="1" si="260"/>
        <v>0</v>
      </c>
      <c r="K449" s="504">
        <f t="shared" ca="1" si="260"/>
        <v>0</v>
      </c>
      <c r="L449" s="504">
        <f t="shared" ca="1" si="260"/>
        <v>0</v>
      </c>
      <c r="M449" s="504">
        <f t="shared" ca="1" si="260"/>
        <v>0</v>
      </c>
      <c r="N449" s="504">
        <f t="shared" ca="1" si="260"/>
        <v>0</v>
      </c>
      <c r="O449" s="504">
        <f t="shared" ca="1" si="260"/>
        <v>0</v>
      </c>
      <c r="P449" s="503">
        <f ca="1">SUM(E449:O449)</f>
        <v>0</v>
      </c>
    </row>
    <row r="450" spans="1:16" s="280" customFormat="1" ht="16.2" thickBot="1" x14ac:dyDescent="0.35">
      <c r="C450" s="511" t="s">
        <v>786</v>
      </c>
      <c r="E450" s="509">
        <f t="shared" ref="E450:O450" ca="1" si="261">IF(E357&gt;0,E448/E357,0)</f>
        <v>0</v>
      </c>
      <c r="F450" s="509">
        <f t="shared" ca="1" si="261"/>
        <v>0</v>
      </c>
      <c r="G450" s="509">
        <f t="shared" ca="1" si="261"/>
        <v>0</v>
      </c>
      <c r="H450" s="509">
        <f t="shared" ca="1" si="261"/>
        <v>0</v>
      </c>
      <c r="I450" s="509">
        <f t="shared" ca="1" si="261"/>
        <v>0</v>
      </c>
      <c r="J450" s="509">
        <f t="shared" ca="1" si="261"/>
        <v>0</v>
      </c>
      <c r="K450" s="509">
        <f t="shared" ca="1" si="261"/>
        <v>0</v>
      </c>
      <c r="L450" s="509">
        <f t="shared" ca="1" si="261"/>
        <v>0</v>
      </c>
      <c r="M450" s="509">
        <f t="shared" ca="1" si="261"/>
        <v>0</v>
      </c>
      <c r="N450" s="509">
        <f t="shared" ca="1" si="261"/>
        <v>0</v>
      </c>
      <c r="O450" s="509">
        <f t="shared" ca="1" si="261"/>
        <v>0</v>
      </c>
      <c r="P450" s="510">
        <f t="shared" ref="P450" ca="1" si="262">IF(O450=0,IF(N450=0,IF(M450=0,IF(L450=0,IF(K450=0,IF(J450=0,IF(I450=0,IF(H450=0,IF(G450=0,IF(F450=0,E450,F450),G450),H450),I450),J450),K450),L450),M450),N450),O450)</f>
        <v>0</v>
      </c>
    </row>
    <row r="451" spans="1:16" x14ac:dyDescent="0.3">
      <c r="E451" s="505"/>
      <c r="P451"/>
    </row>
    <row r="452" spans="1:16" ht="16.2" thickBot="1" x14ac:dyDescent="0.35">
      <c r="B452" s="253" t="s">
        <v>755</v>
      </c>
      <c r="C452" s="254"/>
      <c r="E452" s="469"/>
      <c r="P452"/>
    </row>
    <row r="453" spans="1:16" s="365" customFormat="1" ht="14.55" customHeight="1" x14ac:dyDescent="0.3">
      <c r="A453" s="1"/>
      <c r="B453" s="62"/>
      <c r="D453" s="394"/>
      <c r="E453" s="294">
        <v>0</v>
      </c>
      <c r="F453" s="294">
        <v>1</v>
      </c>
      <c r="G453" s="294">
        <v>2</v>
      </c>
      <c r="H453" s="294">
        <v>3</v>
      </c>
      <c r="I453" s="294">
        <v>4</v>
      </c>
      <c r="J453" s="294">
        <v>5</v>
      </c>
      <c r="K453" s="294">
        <v>6</v>
      </c>
      <c r="L453" s="294">
        <v>7</v>
      </c>
      <c r="M453" s="294">
        <v>8</v>
      </c>
      <c r="N453" s="294">
        <v>9</v>
      </c>
      <c r="O453" s="295">
        <v>10</v>
      </c>
      <c r="P453" s="395" t="s">
        <v>2</v>
      </c>
    </row>
    <row r="454" spans="1:16" hidden="1" outlineLevel="1" x14ac:dyDescent="0.3">
      <c r="C454" s="396" t="s">
        <v>907</v>
      </c>
      <c r="E454" s="482">
        <f ca="1">E375*'B. Implementation Plan'!P408*2080*(1+E19)^E453</f>
        <v>0</v>
      </c>
      <c r="F454" s="482">
        <f ca="1">F375*'B. Implementation Plan'!P408*2080*(1+E19)^F453</f>
        <v>0</v>
      </c>
      <c r="G454" s="482">
        <f ca="1">G375*'B. Implementation Plan'!P408*2080*(1+E19)^G453</f>
        <v>0</v>
      </c>
      <c r="H454" s="482">
        <f ca="1">H375*'B. Implementation Plan'!P408*2080*(1+E19)^H453</f>
        <v>0</v>
      </c>
      <c r="I454" s="482">
        <f ca="1">I375*'B. Implementation Plan'!P408*2080*(1+E19)^I453</f>
        <v>0</v>
      </c>
      <c r="J454" s="482">
        <f ca="1">J375*'B. Implementation Plan'!P408*2080*(1+E19)^J453</f>
        <v>0</v>
      </c>
      <c r="K454" s="482">
        <f ca="1">K375*'B. Implementation Plan'!P408*2080*(1+E19)^K453</f>
        <v>0</v>
      </c>
      <c r="L454" s="482">
        <f ca="1">L375*'B. Implementation Plan'!P408*2080*(1+E19)^L453</f>
        <v>0</v>
      </c>
      <c r="M454" s="482">
        <f ca="1">M375*'B. Implementation Plan'!P408*2080*(1+E19)^M453</f>
        <v>0</v>
      </c>
      <c r="N454" s="482">
        <f ca="1">N375*'B. Implementation Plan'!P408*2080*(1+E19)^N453</f>
        <v>0</v>
      </c>
      <c r="O454" s="482">
        <f ca="1">O375*'B. Implementation Plan'!P408*2080*(1+E19)^O453</f>
        <v>0</v>
      </c>
      <c r="P454" s="488">
        <f t="shared" ref="P454:P462" ca="1" si="263">IF(O454=0,IF(N454=0,IF(M454=0,IF(L454=0,IF(K454=0,IF(J454=0,IF(I454=0,IF(H454=0,IF(G454=0,IF(F454=0,E454,F454),G454),H454),I454),J454),K454),L454),M454),N454),O454)</f>
        <v>0</v>
      </c>
    </row>
    <row r="455" spans="1:16" hidden="1" outlineLevel="1" x14ac:dyDescent="0.3">
      <c r="C455" s="396" t="s">
        <v>908</v>
      </c>
      <c r="E455" s="482">
        <f ca="1">E376*'B. Implementation Plan'!P408*2080*(1+E19)^E453</f>
        <v>0</v>
      </c>
      <c r="F455" s="482">
        <f ca="1">F376*'B. Implementation Plan'!P408*2080*(1+E19)^F453</f>
        <v>0</v>
      </c>
      <c r="G455" s="482">
        <f ca="1">G376*'B. Implementation Plan'!P408*2080*(1+E19)^G453</f>
        <v>0</v>
      </c>
      <c r="H455" s="482">
        <f ca="1">H376*'B. Implementation Plan'!P408*2080*(1+E19)^H453</f>
        <v>0</v>
      </c>
      <c r="I455" s="482">
        <f ca="1">I376*'B. Implementation Plan'!P408*2080*(1+E19)^I453</f>
        <v>0</v>
      </c>
      <c r="J455" s="482">
        <f ca="1">J376*'B. Implementation Plan'!P408*2080*(1+E19)^J453</f>
        <v>0</v>
      </c>
      <c r="K455" s="482">
        <f ca="1">K376*'B. Implementation Plan'!P408*2080*(1+E19)^K453</f>
        <v>0</v>
      </c>
      <c r="L455" s="482">
        <f ca="1">L376*'B. Implementation Plan'!P408*2080*(1+E19)^L453</f>
        <v>0</v>
      </c>
      <c r="M455" s="482">
        <f ca="1">M376*'B. Implementation Plan'!P408*2080*(1+E19)^M453</f>
        <v>0</v>
      </c>
      <c r="N455" s="482">
        <f ca="1">N376*'B. Implementation Plan'!P408*2080*(1+E19)^N453</f>
        <v>0</v>
      </c>
      <c r="O455" s="482">
        <f ca="1">O376*'B. Implementation Plan'!P408*2080*(1+E19)^O453</f>
        <v>0</v>
      </c>
      <c r="P455" s="488">
        <f t="shared" ca="1" si="263"/>
        <v>0</v>
      </c>
    </row>
    <row r="456" spans="1:16" hidden="1" outlineLevel="1" x14ac:dyDescent="0.3">
      <c r="C456" s="396" t="s">
        <v>909</v>
      </c>
      <c r="E456" s="482">
        <f ca="1">E377*'B. Implementation Plan'!P408*2080*(1+E19)^E453</f>
        <v>0</v>
      </c>
      <c r="F456" s="482">
        <f ca="1">F377*'B. Implementation Plan'!P408*2080*(1+E19)^F453</f>
        <v>0</v>
      </c>
      <c r="G456" s="482">
        <f ca="1">G377*'B. Implementation Plan'!P408*2080*(1+E19)^G453</f>
        <v>0</v>
      </c>
      <c r="H456" s="482">
        <f ca="1">H377*'B. Implementation Plan'!P408*2080*(1+E19)^H453</f>
        <v>0</v>
      </c>
      <c r="I456" s="482">
        <f ca="1">I377*'B. Implementation Plan'!P408*2080*(1+E19)^I453</f>
        <v>0</v>
      </c>
      <c r="J456" s="482">
        <f ca="1">J377*'B. Implementation Plan'!P408*2080*(1+E19)^J453</f>
        <v>0</v>
      </c>
      <c r="K456" s="482">
        <f ca="1">K377*'B. Implementation Plan'!P408*2080*(1+E19)^K453</f>
        <v>0</v>
      </c>
      <c r="L456" s="482">
        <f ca="1">L377*'B. Implementation Plan'!P408*2080*(1+E19)^L453</f>
        <v>0</v>
      </c>
      <c r="M456" s="482">
        <f ca="1">M377*'B. Implementation Plan'!P408*2080*(1+E19)^M453</f>
        <v>0</v>
      </c>
      <c r="N456" s="482">
        <f ca="1">N377*'B. Implementation Plan'!P408*2080*(1+E19)^N453</f>
        <v>0</v>
      </c>
      <c r="O456" s="482">
        <f ca="1">O377*'B. Implementation Plan'!P408*2080*(1+E19)^O453</f>
        <v>0</v>
      </c>
      <c r="P456" s="488">
        <f t="shared" ca="1" si="263"/>
        <v>0</v>
      </c>
    </row>
    <row r="457" spans="1:16" hidden="1" outlineLevel="1" x14ac:dyDescent="0.3">
      <c r="C457" s="478" t="s">
        <v>910</v>
      </c>
      <c r="E457" s="482">
        <f ca="1">E380*'B. Implementation Plan'!P407*2080*(1+E19)^E453</f>
        <v>0</v>
      </c>
      <c r="F457" s="482">
        <f ca="1">F380*'B. Implementation Plan'!P407*2080*(1+E19)^F453</f>
        <v>0</v>
      </c>
      <c r="G457" s="482">
        <f ca="1">G380*'B. Implementation Plan'!P407*2080*(1+E19)^G453</f>
        <v>0</v>
      </c>
      <c r="H457" s="482">
        <f ca="1">H380*'B. Implementation Plan'!P407*2080*(1+E19)^H453</f>
        <v>0</v>
      </c>
      <c r="I457" s="482">
        <f ca="1">I380*'B. Implementation Plan'!P407*2080*(1+E19)^I453</f>
        <v>0</v>
      </c>
      <c r="J457" s="482">
        <f ca="1">J380*'B. Implementation Plan'!P407*2080*(1+E19)^J453</f>
        <v>0</v>
      </c>
      <c r="K457" s="482">
        <f ca="1">K380*'B. Implementation Plan'!P407*2080*(1+E19)^K453</f>
        <v>0</v>
      </c>
      <c r="L457" s="482">
        <f ca="1">L380*'B. Implementation Plan'!P407*2080*(1+E19)^L453</f>
        <v>0</v>
      </c>
      <c r="M457" s="482">
        <f ca="1">M380*'B. Implementation Plan'!P407*2080*(1+E19)^M453</f>
        <v>0</v>
      </c>
      <c r="N457" s="482">
        <f ca="1">N380*'B. Implementation Plan'!P407*2080*(1+E19)^N453</f>
        <v>0</v>
      </c>
      <c r="O457" s="482">
        <f ca="1">O380*'B. Implementation Plan'!P407*2080*(1+E19)^O453</f>
        <v>0</v>
      </c>
      <c r="P457" s="488">
        <f t="shared" ca="1" si="263"/>
        <v>0</v>
      </c>
    </row>
    <row r="458" spans="1:16" hidden="1" outlineLevel="1" x14ac:dyDescent="0.3">
      <c r="C458" s="478" t="s">
        <v>911</v>
      </c>
      <c r="E458" s="482">
        <f ca="1">E381*'B. Implementation Plan'!P407*2080*(1+E19)^E453</f>
        <v>0</v>
      </c>
      <c r="F458" s="482">
        <f ca="1">F381*'B. Implementation Plan'!P407*2080*(1+E19)^F453</f>
        <v>0</v>
      </c>
      <c r="G458" s="482">
        <f ca="1">G381*'B. Implementation Plan'!P407*2080*(1+E19)^G453</f>
        <v>0</v>
      </c>
      <c r="H458" s="482">
        <f ca="1">H381*'B. Implementation Plan'!P407*2080*(1+E19)^H453</f>
        <v>0</v>
      </c>
      <c r="I458" s="482">
        <f ca="1">I381*'B. Implementation Plan'!P407*2080*(1+E19)^I453</f>
        <v>0</v>
      </c>
      <c r="J458" s="482">
        <f ca="1">J381*'B. Implementation Plan'!P407*2080*(1+E19)^J453</f>
        <v>0</v>
      </c>
      <c r="K458" s="482">
        <f ca="1">K381*'B. Implementation Plan'!P407*2080*(1+E19)^K453</f>
        <v>0</v>
      </c>
      <c r="L458" s="482">
        <f ca="1">L381*'B. Implementation Plan'!P407*2080*(1+E19)^L453</f>
        <v>0</v>
      </c>
      <c r="M458" s="482">
        <f ca="1">M381*'B. Implementation Plan'!P407*2080*(1+E19)^M453</f>
        <v>0</v>
      </c>
      <c r="N458" s="482">
        <f ca="1">N381*'B. Implementation Plan'!P407*2080*(1+E19)^N453</f>
        <v>0</v>
      </c>
      <c r="O458" s="482">
        <f ca="1">O381*'B. Implementation Plan'!P407*2080*(1+E19)^O453</f>
        <v>0</v>
      </c>
      <c r="P458" s="488">
        <f t="shared" ca="1" si="263"/>
        <v>0</v>
      </c>
    </row>
    <row r="459" spans="1:16" hidden="1" outlineLevel="1" x14ac:dyDescent="0.3">
      <c r="C459" s="478" t="s">
        <v>912</v>
      </c>
      <c r="E459" s="482">
        <f ca="1">E382*'B. Implementation Plan'!P407*2080*(1+E19)^E453</f>
        <v>0</v>
      </c>
      <c r="F459" s="482">
        <f ca="1">F382*'B. Implementation Plan'!P407*2080*(1+E19)^F453</f>
        <v>0</v>
      </c>
      <c r="G459" s="482">
        <f ca="1">G382*'B. Implementation Plan'!P407*2080*(1+E19)^G453</f>
        <v>0</v>
      </c>
      <c r="H459" s="482">
        <f ca="1">H382*'B. Implementation Plan'!P407*2080*(1+E19)^H453</f>
        <v>0</v>
      </c>
      <c r="I459" s="482">
        <f ca="1">I382*'B. Implementation Plan'!P407*2080*(1+E19)^I453</f>
        <v>0</v>
      </c>
      <c r="J459" s="482">
        <f ca="1">J382*'B. Implementation Plan'!P407*2080*(1+E19)^J453</f>
        <v>0</v>
      </c>
      <c r="K459" s="482">
        <f ca="1">K382*'B. Implementation Plan'!P407*2080*(1+E19)^K453</f>
        <v>0</v>
      </c>
      <c r="L459" s="482">
        <f ca="1">L382*'B. Implementation Plan'!P407*2080*(1+E19)^L453</f>
        <v>0</v>
      </c>
      <c r="M459" s="482">
        <f ca="1">M382*'B. Implementation Plan'!P407*2080*(1+E19)^M453</f>
        <v>0</v>
      </c>
      <c r="N459" s="482">
        <f ca="1">N382*'B. Implementation Plan'!P407*2080*(1+E19)^N453</f>
        <v>0</v>
      </c>
      <c r="O459" s="482">
        <f ca="1">O382*'B. Implementation Plan'!P407*2080*(1+E19)^O453</f>
        <v>0</v>
      </c>
      <c r="P459" s="488">
        <f t="shared" ca="1" si="263"/>
        <v>0</v>
      </c>
    </row>
    <row r="460" spans="1:16" hidden="1" outlineLevel="1" x14ac:dyDescent="0.3">
      <c r="C460" s="396" t="s">
        <v>913</v>
      </c>
      <c r="E460" s="482">
        <f ca="1">E385*'B. Implementation Plan'!P406*2080*(1+E19)^E453</f>
        <v>0</v>
      </c>
      <c r="F460" s="482">
        <f ca="1">F385*'B. Implementation Plan'!P406*2080*(1+E19)^F453</f>
        <v>0</v>
      </c>
      <c r="G460" s="482">
        <f ca="1">G385*'B. Implementation Plan'!P406*2080*(1+E19)^G453</f>
        <v>0</v>
      </c>
      <c r="H460" s="482">
        <f ca="1">H385*'B. Implementation Plan'!P406*2080*(1+E19)^H453</f>
        <v>0</v>
      </c>
      <c r="I460" s="482">
        <f ca="1">I385*'B. Implementation Plan'!P406*2080*(1+E19)^I453</f>
        <v>0</v>
      </c>
      <c r="J460" s="482">
        <f ca="1">J385*'B. Implementation Plan'!P406*2080*(1+E19)^J453</f>
        <v>0</v>
      </c>
      <c r="K460" s="482">
        <f ca="1">K385*'B. Implementation Plan'!P406*2080*(1+E19)^K453</f>
        <v>0</v>
      </c>
      <c r="L460" s="482">
        <f ca="1">L385*'B. Implementation Plan'!P406*2080*(1+E19)^L453</f>
        <v>0</v>
      </c>
      <c r="M460" s="482">
        <f ca="1">M385*'B. Implementation Plan'!P406*2080*(1+E19)^M453</f>
        <v>0</v>
      </c>
      <c r="N460" s="482">
        <f ca="1">N385*'B. Implementation Plan'!P406*2080*(1+E19)^N453</f>
        <v>0</v>
      </c>
      <c r="O460" s="482">
        <f ca="1">O385*'B. Implementation Plan'!P406*2080*(1+E19)^O453</f>
        <v>0</v>
      </c>
      <c r="P460" s="488">
        <f t="shared" ca="1" si="263"/>
        <v>0</v>
      </c>
    </row>
    <row r="461" spans="1:16" hidden="1" outlineLevel="1" x14ac:dyDescent="0.3">
      <c r="C461" s="396" t="s">
        <v>914</v>
      </c>
      <c r="E461" s="482">
        <f ca="1">E386*'B. Implementation Plan'!P406*2080*(1+E19)^E453</f>
        <v>0</v>
      </c>
      <c r="F461" s="482">
        <f ca="1">F386*'B. Implementation Plan'!P406*2080*(1+E19)^F453</f>
        <v>0</v>
      </c>
      <c r="G461" s="482">
        <f ca="1">G386*'B. Implementation Plan'!P406*2080*(1+E19)^G453</f>
        <v>0</v>
      </c>
      <c r="H461" s="482">
        <f ca="1">H386*'B. Implementation Plan'!P406*2080*(1+E19)^H453</f>
        <v>0</v>
      </c>
      <c r="I461" s="482">
        <f ca="1">I386*'B. Implementation Plan'!P406*2080*(1+E19)^I453</f>
        <v>0</v>
      </c>
      <c r="J461" s="482">
        <f ca="1">J386*'B. Implementation Plan'!P406*2080*(1+E19)^J453</f>
        <v>0</v>
      </c>
      <c r="K461" s="482">
        <f ca="1">K386*'B. Implementation Plan'!P406*2080*(1+E19)^K453</f>
        <v>0</v>
      </c>
      <c r="L461" s="482">
        <f ca="1">L386*'B. Implementation Plan'!P406*2080*(1+E19)^L453</f>
        <v>0</v>
      </c>
      <c r="M461" s="482">
        <f ca="1">M386*'B. Implementation Plan'!P406*2080*(1+E19)^M453</f>
        <v>0</v>
      </c>
      <c r="N461" s="482">
        <f ca="1">N386*'B. Implementation Plan'!P406*2080*(1+E19)^N453</f>
        <v>0</v>
      </c>
      <c r="O461" s="482">
        <f ca="1">O386*'B. Implementation Plan'!P406*2080*(1+E19)^O453</f>
        <v>0</v>
      </c>
      <c r="P461" s="488">
        <f t="shared" ca="1" si="263"/>
        <v>0</v>
      </c>
    </row>
    <row r="462" spans="1:16" hidden="1" outlineLevel="1" x14ac:dyDescent="0.3">
      <c r="C462" s="396" t="s">
        <v>915</v>
      </c>
      <c r="E462" s="482">
        <f ca="1">E387*'B. Implementation Plan'!P406*2080*(1+E19)^E453</f>
        <v>0</v>
      </c>
      <c r="F462" s="482">
        <f ca="1">F387*'B. Implementation Plan'!P406*2080*(1+E19)^F453</f>
        <v>0</v>
      </c>
      <c r="G462" s="482">
        <f ca="1">G387*'B. Implementation Plan'!P406*2080*(1+E19)^G453</f>
        <v>0</v>
      </c>
      <c r="H462" s="482">
        <f ca="1">H387*'B. Implementation Plan'!P406*2080*(1+E19)^H453</f>
        <v>0</v>
      </c>
      <c r="I462" s="482">
        <f ca="1">I387*'B. Implementation Plan'!P406*2080*(1+E19)^I453</f>
        <v>0</v>
      </c>
      <c r="J462" s="482">
        <f ca="1">J387*'B. Implementation Plan'!P406*2080*(1+E19)^J453</f>
        <v>0</v>
      </c>
      <c r="K462" s="482">
        <f ca="1">K387*'B. Implementation Plan'!P406*2080*(1+E19)^K453</f>
        <v>0</v>
      </c>
      <c r="L462" s="482">
        <f ca="1">L387*'B. Implementation Plan'!P406*2080*(1+E19)^L453</f>
        <v>0</v>
      </c>
      <c r="M462" s="482">
        <f ca="1">M387*'B. Implementation Plan'!P406*2080*(1+E19)^M453</f>
        <v>0</v>
      </c>
      <c r="N462" s="482">
        <f ca="1">N387*'B. Implementation Plan'!P406*2080*(1+E19)^N453</f>
        <v>0</v>
      </c>
      <c r="O462" s="482">
        <f ca="1">O387*'B. Implementation Plan'!P406*2080*(1+E19)^O453</f>
        <v>0</v>
      </c>
      <c r="P462" s="488">
        <f t="shared" ca="1" si="263"/>
        <v>0</v>
      </c>
    </row>
    <row r="463" spans="1:16" hidden="1" outlineLevel="1" x14ac:dyDescent="0.3">
      <c r="C463" s="478" t="s">
        <v>745</v>
      </c>
      <c r="E463" s="482">
        <f ca="1">E390*'B. Implementation Plan'!P179*(1+E19)^E453</f>
        <v>0</v>
      </c>
      <c r="F463" s="482">
        <f ca="1">F390*'B. Implementation Plan'!P179*(1+E19)^F453</f>
        <v>0</v>
      </c>
      <c r="G463" s="482">
        <f ca="1">G390*'B. Implementation Plan'!P179*(1+E19)^G453</f>
        <v>0</v>
      </c>
      <c r="H463" s="482">
        <f ca="1">H390*'B. Implementation Plan'!P179*(1+E19)^H453</f>
        <v>0</v>
      </c>
      <c r="I463" s="482">
        <f ca="1">I390*'B. Implementation Plan'!P179*(1+E19)^I453</f>
        <v>0</v>
      </c>
      <c r="J463" s="482">
        <f ca="1">J390*'B. Implementation Plan'!P179*(1+E19)^J453</f>
        <v>0</v>
      </c>
      <c r="K463" s="482">
        <f ca="1">K390*'B. Implementation Plan'!P179*(1+E19)^K453</f>
        <v>0</v>
      </c>
      <c r="L463" s="482">
        <f ca="1">L390*'B. Implementation Plan'!P179*(1+E19)^L453</f>
        <v>0</v>
      </c>
      <c r="M463" s="482">
        <f ca="1">M390*'B. Implementation Plan'!P179*(1+E19)^M453</f>
        <v>0</v>
      </c>
      <c r="N463" s="482">
        <f ca="1">N390*'B. Implementation Plan'!P179*(1+E19)^N453</f>
        <v>0</v>
      </c>
      <c r="O463" s="482">
        <f ca="1">O390*'B. Implementation Plan'!P179*(1+E19)^O453</f>
        <v>0</v>
      </c>
      <c r="P463" s="488">
        <f t="shared" ref="P463:P510" ca="1" si="264">IF(O463=0,IF(N463=0,IF(M463=0,IF(L463=0,IF(K463=0,IF(J463=0,IF(I463=0,IF(H463=0,IF(G463=0,IF(F463=0,E463,F463),G463),H463),I463),J463),K463),L463),M463),N463),O463)</f>
        <v>0</v>
      </c>
    </row>
    <row r="464" spans="1:16" hidden="1" outlineLevel="1" x14ac:dyDescent="0.3">
      <c r="C464" s="478" t="s">
        <v>746</v>
      </c>
      <c r="E464" s="482">
        <f ca="1">E391*'B. Implementation Plan'!P179*(1+E19)^E453</f>
        <v>0</v>
      </c>
      <c r="F464" s="482">
        <f ca="1">F391*'B. Implementation Plan'!P179*(1+E19)^F453</f>
        <v>0</v>
      </c>
      <c r="G464" s="482">
        <f ca="1">G391*'B. Implementation Plan'!P179*(1+E19)^G453</f>
        <v>0</v>
      </c>
      <c r="H464" s="482">
        <f ca="1">H391*'B. Implementation Plan'!P179*(1+E19)^H453</f>
        <v>0</v>
      </c>
      <c r="I464" s="482">
        <f ca="1">I391*'B. Implementation Plan'!P179*(1+E19)^I453</f>
        <v>0</v>
      </c>
      <c r="J464" s="482">
        <f ca="1">J391*'B. Implementation Plan'!P179*(1+E19)^J453</f>
        <v>0</v>
      </c>
      <c r="K464" s="482">
        <f ca="1">K391*'B. Implementation Plan'!P179*(1+E19)^K453</f>
        <v>0</v>
      </c>
      <c r="L464" s="482">
        <f ca="1">L391*'B. Implementation Plan'!P179*(1+E19)^L453</f>
        <v>0</v>
      </c>
      <c r="M464" s="482">
        <f ca="1">M391*'B. Implementation Plan'!P179*(1+E19)^M453</f>
        <v>0</v>
      </c>
      <c r="N464" s="482">
        <f ca="1">N391*'B. Implementation Plan'!P179*(1+E19)^N453</f>
        <v>0</v>
      </c>
      <c r="O464" s="482">
        <f ca="1">O391*'B. Implementation Plan'!P179*(1+E19)^O453</f>
        <v>0</v>
      </c>
      <c r="P464" s="488">
        <f t="shared" ca="1" si="264"/>
        <v>0</v>
      </c>
    </row>
    <row r="465" spans="1:16" hidden="1" outlineLevel="1" x14ac:dyDescent="0.3">
      <c r="C465" s="478" t="s">
        <v>747</v>
      </c>
      <c r="E465" s="482">
        <f ca="1">E392*'B. Implementation Plan'!P179*(1+E19)^E453</f>
        <v>0</v>
      </c>
      <c r="F465" s="482">
        <f ca="1">F392*'B. Implementation Plan'!P179*(1+E19)^F453</f>
        <v>0</v>
      </c>
      <c r="G465" s="482">
        <f ca="1">G392*'B. Implementation Plan'!P179*(1+E19)^G453</f>
        <v>0</v>
      </c>
      <c r="H465" s="482">
        <f ca="1">H392*'B. Implementation Plan'!P179*(1+E19)^H453</f>
        <v>0</v>
      </c>
      <c r="I465" s="482">
        <f ca="1">I392*'B. Implementation Plan'!P179*(1+E19)^I453</f>
        <v>0</v>
      </c>
      <c r="J465" s="482">
        <f ca="1">J392*'B. Implementation Plan'!P179*(1+E19)^J453</f>
        <v>0</v>
      </c>
      <c r="K465" s="482">
        <f ca="1">K392*'B. Implementation Plan'!P179*(1+E19)^K453</f>
        <v>0</v>
      </c>
      <c r="L465" s="482">
        <f ca="1">L392*'B. Implementation Plan'!P179*(1+E19)^L453</f>
        <v>0</v>
      </c>
      <c r="M465" s="482">
        <f ca="1">M392*'B. Implementation Plan'!P179*(1+E19)^M453</f>
        <v>0</v>
      </c>
      <c r="N465" s="482">
        <f ca="1">N392*'B. Implementation Plan'!P179*(1+E19)^N453</f>
        <v>0</v>
      </c>
      <c r="O465" s="482">
        <f ca="1">O392*'B. Implementation Plan'!P179*(1+E19)^O453</f>
        <v>0</v>
      </c>
      <c r="P465" s="488">
        <f t="shared" ca="1" si="264"/>
        <v>0</v>
      </c>
    </row>
    <row r="466" spans="1:16" hidden="1" outlineLevel="1" x14ac:dyDescent="0.3">
      <c r="C466" s="396" t="s">
        <v>917</v>
      </c>
      <c r="E466" s="482">
        <f ca="1">E403*'B. Implementation Plan'!P410*2080*(1+E19)^E453</f>
        <v>0</v>
      </c>
      <c r="F466" s="482">
        <f ca="1">F403*'B. Implementation Plan'!P410*2080*(1+E19)^F453</f>
        <v>0</v>
      </c>
      <c r="G466" s="482">
        <f ca="1">G403*'B. Implementation Plan'!P410*2080*(1+E19)^G453</f>
        <v>0</v>
      </c>
      <c r="H466" s="482">
        <f ca="1">H403*'B. Implementation Plan'!P410*2080*(1+E19)^H453</f>
        <v>0</v>
      </c>
      <c r="I466" s="482">
        <f ca="1">I403*'B. Implementation Plan'!P410*2080*(1+E19)^I453</f>
        <v>0</v>
      </c>
      <c r="J466" s="482">
        <f ca="1">J403*'B. Implementation Plan'!P410*2080*(1+E19)^J453</f>
        <v>0</v>
      </c>
      <c r="K466" s="482">
        <f ca="1">K403*'B. Implementation Plan'!P410*2080*(1+E19)^K453</f>
        <v>0</v>
      </c>
      <c r="L466" s="482">
        <f ca="1">L403*'B. Implementation Plan'!P410*2080*(1+E19)^L453</f>
        <v>0</v>
      </c>
      <c r="M466" s="482">
        <f ca="1">M403*'B. Implementation Plan'!P410*2080*(1+E19)^M453</f>
        <v>0</v>
      </c>
      <c r="N466" s="482">
        <f ca="1">N403*'B. Implementation Plan'!P410*2080*(1+E19)^N453</f>
        <v>0</v>
      </c>
      <c r="O466" s="482">
        <f ca="1">O403*'B. Implementation Plan'!P410*2080*(1+E19)^O453</f>
        <v>0</v>
      </c>
      <c r="P466" s="488">
        <f t="shared" ca="1" si="264"/>
        <v>0</v>
      </c>
    </row>
    <row r="467" spans="1:16" hidden="1" outlineLevel="1" x14ac:dyDescent="0.3">
      <c r="C467" s="396" t="s">
        <v>918</v>
      </c>
      <c r="E467" s="482">
        <f ca="1">E404*'B. Implementation Plan'!P410*2080*(1+E19)^E453</f>
        <v>0</v>
      </c>
      <c r="F467" s="482">
        <f ca="1">F404*'B. Implementation Plan'!P410*2080*(1+E19)^F453</f>
        <v>0</v>
      </c>
      <c r="G467" s="482">
        <f ca="1">G404*'B. Implementation Plan'!P410*2080*(1+E19)^G453</f>
        <v>0</v>
      </c>
      <c r="H467" s="482">
        <f ca="1">H404*'B. Implementation Plan'!P410*2080*(1+E19)^H453</f>
        <v>0</v>
      </c>
      <c r="I467" s="482">
        <f ca="1">I404*'B. Implementation Plan'!P410*2080*(1+E19)^I453</f>
        <v>0</v>
      </c>
      <c r="J467" s="482">
        <f ca="1">J404*'B. Implementation Plan'!P410*2080*(1+E19)^J453</f>
        <v>0</v>
      </c>
      <c r="K467" s="482">
        <f ca="1">K404*'B. Implementation Plan'!P410*2080*(1+E19)^K453</f>
        <v>0</v>
      </c>
      <c r="L467" s="482">
        <f ca="1">L404*'B. Implementation Plan'!P410*2080*(1+E19)^L453</f>
        <v>0</v>
      </c>
      <c r="M467" s="482">
        <f ca="1">M404*'B. Implementation Plan'!P410*2080*(1+E19)^M453</f>
        <v>0</v>
      </c>
      <c r="N467" s="482">
        <f ca="1">N404*'B. Implementation Plan'!P410*2080*(1+E19)^N453</f>
        <v>0</v>
      </c>
      <c r="O467" s="482">
        <f ca="1">O404*'B. Implementation Plan'!P410*2080*(1+E19)^O453</f>
        <v>0</v>
      </c>
      <c r="P467" s="488">
        <f t="shared" ca="1" si="264"/>
        <v>0</v>
      </c>
    </row>
    <row r="468" spans="1:16" hidden="1" outlineLevel="1" x14ac:dyDescent="0.3">
      <c r="C468" s="396" t="s">
        <v>919</v>
      </c>
      <c r="E468" s="482">
        <f ca="1">E405*'B. Implementation Plan'!P410*2080*(1+E19)^E453</f>
        <v>0</v>
      </c>
      <c r="F468" s="482">
        <f ca="1">F405*'B. Implementation Plan'!P410*2080*(1+E19)^F453</f>
        <v>0</v>
      </c>
      <c r="G468" s="482">
        <f ca="1">G405*'B. Implementation Plan'!P410*2080*(1+E19)^G453</f>
        <v>0</v>
      </c>
      <c r="H468" s="482">
        <f ca="1">H405*'B. Implementation Plan'!P410*2080*(1+E19)^H453</f>
        <v>0</v>
      </c>
      <c r="I468" s="482">
        <f ca="1">I405*'B. Implementation Plan'!P410*2080*(1+E19)^I453</f>
        <v>0</v>
      </c>
      <c r="J468" s="482">
        <f ca="1">J405*'B. Implementation Plan'!P410*2080*(1+E19)^J453</f>
        <v>0</v>
      </c>
      <c r="K468" s="482">
        <f ca="1">K405*'B. Implementation Plan'!P410*2080*(1+E19)^K453</f>
        <v>0</v>
      </c>
      <c r="L468" s="482">
        <f ca="1">L405*'B. Implementation Plan'!P410*2080*(1+E19)^L453</f>
        <v>0</v>
      </c>
      <c r="M468" s="482">
        <f ca="1">M405*'B. Implementation Plan'!P410*2080*(1+E19)^M453</f>
        <v>0</v>
      </c>
      <c r="N468" s="482">
        <f ca="1">N405*'B. Implementation Plan'!P410*2080*(1+E19)^N453</f>
        <v>0</v>
      </c>
      <c r="O468" s="482">
        <f ca="1">O405*'B. Implementation Plan'!P410*2080*(1+E19)^O453</f>
        <v>0</v>
      </c>
      <c r="P468" s="488">
        <f t="shared" ca="1" si="264"/>
        <v>0</v>
      </c>
    </row>
    <row r="469" spans="1:16" hidden="1" outlineLevel="1" x14ac:dyDescent="0.3">
      <c r="C469" s="478" t="s">
        <v>920</v>
      </c>
      <c r="E469" s="482">
        <f ca="1">(E398-E403)*'B. Implementation Plan'!P409*2080*(1+E19)^E453</f>
        <v>0</v>
      </c>
      <c r="F469" s="482">
        <f ca="1">(F398-F403)*'B. Implementation Plan'!P409*2080*(1+E19)^F453</f>
        <v>0</v>
      </c>
      <c r="G469" s="482">
        <f ca="1">(G398-G403)*'B. Implementation Plan'!P409*2080*(1+E19)^G453</f>
        <v>0</v>
      </c>
      <c r="H469" s="482">
        <f ca="1">(H398-H403)*'B. Implementation Plan'!P409*2080*(1+E19)^H453</f>
        <v>0</v>
      </c>
      <c r="I469" s="482">
        <f ca="1">(I398-I403)*'B. Implementation Plan'!P409*2080*(1+E19)^I453</f>
        <v>0</v>
      </c>
      <c r="J469" s="482">
        <f ca="1">(J398-J403)*'B. Implementation Plan'!P409*2080*(1+E19)^J453</f>
        <v>0</v>
      </c>
      <c r="K469" s="482">
        <f ca="1">(K398-K403)*'B. Implementation Plan'!P409*2080*(1+E19)^K453</f>
        <v>0</v>
      </c>
      <c r="L469" s="482">
        <f ca="1">(L398-L403)*'B. Implementation Plan'!P409*2080*(1+E19)^L453</f>
        <v>0</v>
      </c>
      <c r="M469" s="482">
        <f ca="1">(M398-M403)*'B. Implementation Plan'!P409*2080*(1+E19)^M453</f>
        <v>0</v>
      </c>
      <c r="N469" s="482">
        <f ca="1">(N398-N403)*'B. Implementation Plan'!P409*2080*(1+E19)^N453</f>
        <v>0</v>
      </c>
      <c r="O469" s="482">
        <f ca="1">(O398-O403)*'B. Implementation Plan'!P409*2080*(1+E19)^O453</f>
        <v>0</v>
      </c>
      <c r="P469" s="488">
        <f t="shared" ca="1" si="264"/>
        <v>0</v>
      </c>
    </row>
    <row r="470" spans="1:16" hidden="1" outlineLevel="1" x14ac:dyDescent="0.3">
      <c r="C470" s="478" t="s">
        <v>921</v>
      </c>
      <c r="E470" s="482">
        <f ca="1">(E399-E404)*'B. Implementation Plan'!P409*2080*(1+E19)^E453</f>
        <v>0</v>
      </c>
      <c r="F470" s="482">
        <f ca="1">(F399-F404)*'B. Implementation Plan'!P409*2080*(1+E19)^F453</f>
        <v>0</v>
      </c>
      <c r="G470" s="482">
        <f ca="1">(G399-G404)*'B. Implementation Plan'!P409*2080*(1+E19)^G453</f>
        <v>0</v>
      </c>
      <c r="H470" s="482">
        <f ca="1">(H399-H404)*'B. Implementation Plan'!P409*2080*(1+E19)^H453</f>
        <v>0</v>
      </c>
      <c r="I470" s="482">
        <f ca="1">(I399-I404)*'B. Implementation Plan'!P409*2080*(1+E19)^I453</f>
        <v>0</v>
      </c>
      <c r="J470" s="482">
        <f ca="1">(J399-J404)*'B. Implementation Plan'!P409*2080*(1+E19)^J453</f>
        <v>0</v>
      </c>
      <c r="K470" s="482">
        <f ca="1">(K399-K404)*'B. Implementation Plan'!P409*2080*(1+E19)^K453</f>
        <v>0</v>
      </c>
      <c r="L470" s="482">
        <f ca="1">(L399-L404)*'B. Implementation Plan'!P409*2080*(1+E19)^L453</f>
        <v>0</v>
      </c>
      <c r="M470" s="482">
        <f ca="1">(M399-M404)*'B. Implementation Plan'!P409*2080*(1+E19)^M453</f>
        <v>0</v>
      </c>
      <c r="N470" s="482">
        <f ca="1">(N399-N404)*'B. Implementation Plan'!P409*2080*(1+E19)^N453</f>
        <v>0</v>
      </c>
      <c r="O470" s="482">
        <f ca="1">(O399-O404)*'B. Implementation Plan'!P409*2080*(1+E19)^O453</f>
        <v>0</v>
      </c>
      <c r="P470" s="488">
        <f t="shared" ca="1" si="264"/>
        <v>0</v>
      </c>
    </row>
    <row r="471" spans="1:16" hidden="1" outlineLevel="1" x14ac:dyDescent="0.3">
      <c r="C471" s="478" t="s">
        <v>922</v>
      </c>
      <c r="E471" s="482">
        <f ca="1">(E400-E405)*'B. Implementation Plan'!P409*2080*(1+E19)^E453</f>
        <v>0</v>
      </c>
      <c r="F471" s="482">
        <f ca="1">(F400-F405)*'B. Implementation Plan'!P409*2080*(1+E19)^F453</f>
        <v>0</v>
      </c>
      <c r="G471" s="482">
        <f ca="1">(G400-G405)*'B. Implementation Plan'!P409*2080*(1+E19)^G453</f>
        <v>0</v>
      </c>
      <c r="H471" s="482">
        <f ca="1">(H400-H405)*'B. Implementation Plan'!P409*2080*(1+E19)^H453</f>
        <v>0</v>
      </c>
      <c r="I471" s="482">
        <f ca="1">(I400-I405)*'B. Implementation Plan'!P409*2080*(1+E19)^I453</f>
        <v>0</v>
      </c>
      <c r="J471" s="482">
        <f ca="1">(J400-J405)*'B. Implementation Plan'!P409*2080*(1+E19)^J453</f>
        <v>0</v>
      </c>
      <c r="K471" s="482">
        <f ca="1">(K400-K405)*'B. Implementation Plan'!P409*2080*(1+E19)^K453</f>
        <v>0</v>
      </c>
      <c r="L471" s="482">
        <f ca="1">(L400-L405)*'B. Implementation Plan'!P409*2080*(1+E19)^L453</f>
        <v>0</v>
      </c>
      <c r="M471" s="482">
        <f ca="1">(M400-M405)*'B. Implementation Plan'!P409*2080*(1+E19)^M453</f>
        <v>0</v>
      </c>
      <c r="N471" s="482">
        <f ca="1">(N400-N405)*'B. Implementation Plan'!P409*2080*(1+E19)^N453</f>
        <v>0</v>
      </c>
      <c r="O471" s="482">
        <f ca="1">(O400-O405)*'B. Implementation Plan'!P409*2080*(1+E19)^O453</f>
        <v>0</v>
      </c>
      <c r="P471" s="488">
        <f t="shared" ca="1" si="264"/>
        <v>0</v>
      </c>
    </row>
    <row r="472" spans="1:16" hidden="1" outlineLevel="1" x14ac:dyDescent="0.3">
      <c r="C472" s="396" t="s">
        <v>752</v>
      </c>
      <c r="E472" s="482">
        <f t="shared" ref="E472:O472" ca="1" si="265">IF(E353&gt;0,SUM(E424:E424)*(E358/E361),0)</f>
        <v>0</v>
      </c>
      <c r="F472" s="482">
        <f t="shared" ca="1" si="265"/>
        <v>0</v>
      </c>
      <c r="G472" s="482">
        <f t="shared" ca="1" si="265"/>
        <v>0</v>
      </c>
      <c r="H472" s="482">
        <f t="shared" ca="1" si="265"/>
        <v>0</v>
      </c>
      <c r="I472" s="482">
        <f t="shared" ca="1" si="265"/>
        <v>0</v>
      </c>
      <c r="J472" s="482">
        <f t="shared" ca="1" si="265"/>
        <v>0</v>
      </c>
      <c r="K472" s="482">
        <f t="shared" ca="1" si="265"/>
        <v>0</v>
      </c>
      <c r="L472" s="482">
        <f t="shared" ca="1" si="265"/>
        <v>0</v>
      </c>
      <c r="M472" s="482">
        <f t="shared" ca="1" si="265"/>
        <v>0</v>
      </c>
      <c r="N472" s="482">
        <f t="shared" ca="1" si="265"/>
        <v>0</v>
      </c>
      <c r="O472" s="482">
        <f t="shared" ca="1" si="265"/>
        <v>0</v>
      </c>
      <c r="P472" s="488">
        <f t="shared" ca="1" si="264"/>
        <v>0</v>
      </c>
    </row>
    <row r="473" spans="1:16" hidden="1" outlineLevel="1" x14ac:dyDescent="0.3">
      <c r="C473" s="396" t="s">
        <v>753</v>
      </c>
      <c r="E473" s="482">
        <f t="shared" ref="E473:O473" ca="1" si="266">IF(E353&gt;0,SUM(E424:E424)*(E359/E361),0)</f>
        <v>0</v>
      </c>
      <c r="F473" s="482">
        <f t="shared" ca="1" si="266"/>
        <v>0</v>
      </c>
      <c r="G473" s="482">
        <f t="shared" ca="1" si="266"/>
        <v>0</v>
      </c>
      <c r="H473" s="482">
        <f t="shared" ca="1" si="266"/>
        <v>0</v>
      </c>
      <c r="I473" s="482">
        <f t="shared" ca="1" si="266"/>
        <v>0</v>
      </c>
      <c r="J473" s="482">
        <f t="shared" ca="1" si="266"/>
        <v>0</v>
      </c>
      <c r="K473" s="482">
        <f t="shared" ca="1" si="266"/>
        <v>0</v>
      </c>
      <c r="L473" s="482">
        <f t="shared" ca="1" si="266"/>
        <v>0</v>
      </c>
      <c r="M473" s="482">
        <f t="shared" ca="1" si="266"/>
        <v>0</v>
      </c>
      <c r="N473" s="482">
        <f t="shared" ca="1" si="266"/>
        <v>0</v>
      </c>
      <c r="O473" s="482">
        <f t="shared" ca="1" si="266"/>
        <v>0</v>
      </c>
      <c r="P473" s="488">
        <f t="shared" ca="1" si="264"/>
        <v>0</v>
      </c>
    </row>
    <row r="474" spans="1:16" hidden="1" outlineLevel="1" x14ac:dyDescent="0.3">
      <c r="C474" s="396" t="s">
        <v>754</v>
      </c>
      <c r="E474" s="482">
        <f t="shared" ref="E474:O474" ca="1" si="267">IF(E353&gt;0,SUM(E424:E424)*(E360/E361),0)</f>
        <v>0</v>
      </c>
      <c r="F474" s="482">
        <f t="shared" ca="1" si="267"/>
        <v>0</v>
      </c>
      <c r="G474" s="482">
        <f t="shared" ca="1" si="267"/>
        <v>0</v>
      </c>
      <c r="H474" s="482">
        <f t="shared" ca="1" si="267"/>
        <v>0</v>
      </c>
      <c r="I474" s="482">
        <f t="shared" ca="1" si="267"/>
        <v>0</v>
      </c>
      <c r="J474" s="482">
        <f t="shared" ca="1" si="267"/>
        <v>0</v>
      </c>
      <c r="K474" s="482">
        <f t="shared" ca="1" si="267"/>
        <v>0</v>
      </c>
      <c r="L474" s="482">
        <f t="shared" ca="1" si="267"/>
        <v>0</v>
      </c>
      <c r="M474" s="482">
        <f t="shared" ca="1" si="267"/>
        <v>0</v>
      </c>
      <c r="N474" s="482">
        <f t="shared" ca="1" si="267"/>
        <v>0</v>
      </c>
      <c r="O474" s="482">
        <f t="shared" ca="1" si="267"/>
        <v>0</v>
      </c>
      <c r="P474" s="488">
        <f t="shared" ca="1" si="264"/>
        <v>0</v>
      </c>
    </row>
    <row r="475" spans="1:16" hidden="1" outlineLevel="1" x14ac:dyDescent="0.3">
      <c r="C475" s="396" t="s">
        <v>759</v>
      </c>
      <c r="E475" s="482">
        <f t="shared" ref="E475:O475" ca="1" si="268">IFERROR(E427*(E370+E398)/(E373+E401),0)</f>
        <v>0</v>
      </c>
      <c r="F475" s="482">
        <f t="shared" ca="1" si="268"/>
        <v>0</v>
      </c>
      <c r="G475" s="482">
        <f t="shared" ca="1" si="268"/>
        <v>0</v>
      </c>
      <c r="H475" s="482">
        <f t="shared" ca="1" si="268"/>
        <v>0</v>
      </c>
      <c r="I475" s="482">
        <f t="shared" ca="1" si="268"/>
        <v>0</v>
      </c>
      <c r="J475" s="482">
        <f t="shared" ca="1" si="268"/>
        <v>0</v>
      </c>
      <c r="K475" s="482">
        <f t="shared" ca="1" si="268"/>
        <v>0</v>
      </c>
      <c r="L475" s="482">
        <f t="shared" ca="1" si="268"/>
        <v>0</v>
      </c>
      <c r="M475" s="482">
        <f t="shared" ca="1" si="268"/>
        <v>0</v>
      </c>
      <c r="N475" s="482">
        <f t="shared" ca="1" si="268"/>
        <v>0</v>
      </c>
      <c r="O475" s="482">
        <f t="shared" ca="1" si="268"/>
        <v>0</v>
      </c>
      <c r="P475" s="488">
        <f t="shared" ca="1" si="264"/>
        <v>0</v>
      </c>
    </row>
    <row r="476" spans="1:16" hidden="1" outlineLevel="1" x14ac:dyDescent="0.3">
      <c r="C476" s="396" t="s">
        <v>760</v>
      </c>
      <c r="E476" s="482">
        <f t="shared" ref="E476:O476" ca="1" si="269">IFERROR(E427*(E371+E399)/(E373+E401),0)</f>
        <v>0</v>
      </c>
      <c r="F476" s="482">
        <f t="shared" ca="1" si="269"/>
        <v>0</v>
      </c>
      <c r="G476" s="482">
        <f t="shared" ca="1" si="269"/>
        <v>0</v>
      </c>
      <c r="H476" s="482">
        <f t="shared" ca="1" si="269"/>
        <v>0</v>
      </c>
      <c r="I476" s="482">
        <f t="shared" ca="1" si="269"/>
        <v>0</v>
      </c>
      <c r="J476" s="482">
        <f t="shared" ca="1" si="269"/>
        <v>0</v>
      </c>
      <c r="K476" s="482">
        <f t="shared" ca="1" si="269"/>
        <v>0</v>
      </c>
      <c r="L476" s="482">
        <f t="shared" ca="1" si="269"/>
        <v>0</v>
      </c>
      <c r="M476" s="482">
        <f t="shared" ca="1" si="269"/>
        <v>0</v>
      </c>
      <c r="N476" s="482">
        <f t="shared" ca="1" si="269"/>
        <v>0</v>
      </c>
      <c r="O476" s="482">
        <f t="shared" ca="1" si="269"/>
        <v>0</v>
      </c>
      <c r="P476" s="488">
        <f t="shared" ca="1" si="264"/>
        <v>0</v>
      </c>
    </row>
    <row r="477" spans="1:16" hidden="1" outlineLevel="1" x14ac:dyDescent="0.3">
      <c r="C477" s="396" t="s">
        <v>761</v>
      </c>
      <c r="E477" s="482">
        <f t="shared" ref="E477:O477" ca="1" si="270">IFERROR(E427*(E372+E400)/(E373+E401),0)</f>
        <v>0</v>
      </c>
      <c r="F477" s="482">
        <f t="shared" ca="1" si="270"/>
        <v>0</v>
      </c>
      <c r="G477" s="482">
        <f t="shared" ca="1" si="270"/>
        <v>0</v>
      </c>
      <c r="H477" s="482">
        <f t="shared" ca="1" si="270"/>
        <v>0</v>
      </c>
      <c r="I477" s="482">
        <f t="shared" ca="1" si="270"/>
        <v>0</v>
      </c>
      <c r="J477" s="482">
        <f t="shared" ca="1" si="270"/>
        <v>0</v>
      </c>
      <c r="K477" s="482">
        <f t="shared" ca="1" si="270"/>
        <v>0</v>
      </c>
      <c r="L477" s="482">
        <f t="shared" ca="1" si="270"/>
        <v>0</v>
      </c>
      <c r="M477" s="482">
        <f t="shared" ca="1" si="270"/>
        <v>0</v>
      </c>
      <c r="N477" s="482">
        <f t="shared" ca="1" si="270"/>
        <v>0</v>
      </c>
      <c r="O477" s="482">
        <f t="shared" ca="1" si="270"/>
        <v>0</v>
      </c>
      <c r="P477" s="488">
        <f t="shared" ca="1" si="264"/>
        <v>0</v>
      </c>
    </row>
    <row r="478" spans="1:16" s="1" customFormat="1" hidden="1" outlineLevel="1" x14ac:dyDescent="0.3">
      <c r="A478"/>
      <c r="B478"/>
      <c r="C478" s="409" t="s">
        <v>758</v>
      </c>
      <c r="E478" s="486">
        <f ca="1">E454+E457+E460+E463+E466+E469+E472+E475</f>
        <v>0</v>
      </c>
      <c r="F478" s="486">
        <f t="shared" ref="F478:O478" ca="1" si="271">F454+F457+F460+F463+F466+F469+F472+F475</f>
        <v>0</v>
      </c>
      <c r="G478" s="486">
        <f t="shared" ca="1" si="271"/>
        <v>0</v>
      </c>
      <c r="H478" s="486">
        <f t="shared" ca="1" si="271"/>
        <v>0</v>
      </c>
      <c r="I478" s="486">
        <f t="shared" ca="1" si="271"/>
        <v>0</v>
      </c>
      <c r="J478" s="486">
        <f t="shared" ca="1" si="271"/>
        <v>0</v>
      </c>
      <c r="K478" s="486">
        <f t="shared" ca="1" si="271"/>
        <v>0</v>
      </c>
      <c r="L478" s="486">
        <f t="shared" ca="1" si="271"/>
        <v>0</v>
      </c>
      <c r="M478" s="486">
        <f t="shared" ca="1" si="271"/>
        <v>0</v>
      </c>
      <c r="N478" s="486">
        <f t="shared" ca="1" si="271"/>
        <v>0</v>
      </c>
      <c r="O478" s="486">
        <f t="shared" ca="1" si="271"/>
        <v>0</v>
      </c>
      <c r="P478" s="489">
        <f t="shared" ca="1" si="264"/>
        <v>0</v>
      </c>
    </row>
    <row r="479" spans="1:16" s="1" customFormat="1" hidden="1" outlineLevel="1" x14ac:dyDescent="0.3">
      <c r="A479"/>
      <c r="B479"/>
      <c r="C479" s="409" t="s">
        <v>756</v>
      </c>
      <c r="E479" s="486">
        <f ca="1">E455+E458+E461+E464+E467+E470+E473+E476</f>
        <v>0</v>
      </c>
      <c r="F479" s="486">
        <f t="shared" ref="F479:O479" ca="1" si="272">F455+F458+F461+F464+F467+F470+F473+F476</f>
        <v>0</v>
      </c>
      <c r="G479" s="486">
        <f t="shared" ca="1" si="272"/>
        <v>0</v>
      </c>
      <c r="H479" s="486">
        <f t="shared" ca="1" si="272"/>
        <v>0</v>
      </c>
      <c r="I479" s="486">
        <f t="shared" ca="1" si="272"/>
        <v>0</v>
      </c>
      <c r="J479" s="486">
        <f t="shared" ca="1" si="272"/>
        <v>0</v>
      </c>
      <c r="K479" s="486">
        <f t="shared" ca="1" si="272"/>
        <v>0</v>
      </c>
      <c r="L479" s="486">
        <f t="shared" ca="1" si="272"/>
        <v>0</v>
      </c>
      <c r="M479" s="486">
        <f t="shared" ca="1" si="272"/>
        <v>0</v>
      </c>
      <c r="N479" s="486">
        <f t="shared" ca="1" si="272"/>
        <v>0</v>
      </c>
      <c r="O479" s="486">
        <f t="shared" ca="1" si="272"/>
        <v>0</v>
      </c>
      <c r="P479" s="489">
        <f t="shared" ca="1" si="264"/>
        <v>0</v>
      </c>
    </row>
    <row r="480" spans="1:16" s="1" customFormat="1" hidden="1" outlineLevel="1" x14ac:dyDescent="0.3">
      <c r="A480"/>
      <c r="B480"/>
      <c r="C480" s="409" t="s">
        <v>757</v>
      </c>
      <c r="E480" s="486">
        <f ca="1">E456+E459+E462+E465+E468+E471+E474+E477</f>
        <v>0</v>
      </c>
      <c r="F480" s="486">
        <f t="shared" ref="F480:O480" ca="1" si="273">F456+F459+F462+F465+F468+F471+F474+F477</f>
        <v>0</v>
      </c>
      <c r="G480" s="486">
        <f t="shared" ca="1" si="273"/>
        <v>0</v>
      </c>
      <c r="H480" s="486">
        <f t="shared" ca="1" si="273"/>
        <v>0</v>
      </c>
      <c r="I480" s="486">
        <f t="shared" ca="1" si="273"/>
        <v>0</v>
      </c>
      <c r="J480" s="486">
        <f t="shared" ca="1" si="273"/>
        <v>0</v>
      </c>
      <c r="K480" s="486">
        <f t="shared" ca="1" si="273"/>
        <v>0</v>
      </c>
      <c r="L480" s="486">
        <f t="shared" ca="1" si="273"/>
        <v>0</v>
      </c>
      <c r="M480" s="486">
        <f t="shared" ca="1" si="273"/>
        <v>0</v>
      </c>
      <c r="N480" s="486">
        <f t="shared" ca="1" si="273"/>
        <v>0</v>
      </c>
      <c r="O480" s="486">
        <f t="shared" ca="1" si="273"/>
        <v>0</v>
      </c>
      <c r="P480" s="489">
        <f t="shared" ca="1" si="264"/>
        <v>0</v>
      </c>
    </row>
    <row r="481" spans="3:16" hidden="1" outlineLevel="1" x14ac:dyDescent="0.3">
      <c r="C481" s="433" t="s">
        <v>765</v>
      </c>
      <c r="E481" s="482">
        <f ca="1">E478*'B. Implementation Plan'!P415</f>
        <v>0</v>
      </c>
      <c r="F481" s="482">
        <f ca="1">F478*'B. Implementation Plan'!P415</f>
        <v>0</v>
      </c>
      <c r="G481" s="482">
        <f ca="1">G478*'B. Implementation Plan'!P415</f>
        <v>0</v>
      </c>
      <c r="H481" s="482">
        <f ca="1">H478*'B. Implementation Plan'!P415</f>
        <v>0</v>
      </c>
      <c r="I481" s="482">
        <f ca="1">I478*'B. Implementation Plan'!P415</f>
        <v>0</v>
      </c>
      <c r="J481" s="482">
        <f ca="1">J478*'B. Implementation Plan'!P415</f>
        <v>0</v>
      </c>
      <c r="K481" s="482">
        <f ca="1">K478*'B. Implementation Plan'!P415</f>
        <v>0</v>
      </c>
      <c r="L481" s="482">
        <f ca="1">L478*'B. Implementation Plan'!P415</f>
        <v>0</v>
      </c>
      <c r="M481" s="482">
        <f ca="1">M478*'B. Implementation Plan'!P415</f>
        <v>0</v>
      </c>
      <c r="N481" s="482">
        <f ca="1">N478*'B. Implementation Plan'!P415</f>
        <v>0</v>
      </c>
      <c r="O481" s="482">
        <f ca="1">O478*'B. Implementation Plan'!P415</f>
        <v>0</v>
      </c>
      <c r="P481" s="488">
        <f t="shared" ca="1" si="264"/>
        <v>0</v>
      </c>
    </row>
    <row r="482" spans="3:16" hidden="1" outlineLevel="1" x14ac:dyDescent="0.3">
      <c r="C482" s="433" t="s">
        <v>766</v>
      </c>
      <c r="E482" s="482">
        <f ca="1">E479*'B. Implementation Plan'!P415</f>
        <v>0</v>
      </c>
      <c r="F482" s="482">
        <f ca="1">F479*'B. Implementation Plan'!P415</f>
        <v>0</v>
      </c>
      <c r="G482" s="482">
        <f ca="1">G479*'B. Implementation Plan'!P415</f>
        <v>0</v>
      </c>
      <c r="H482" s="482">
        <f ca="1">H479*'B. Implementation Plan'!P415</f>
        <v>0</v>
      </c>
      <c r="I482" s="482">
        <f ca="1">I479*'B. Implementation Plan'!P415</f>
        <v>0</v>
      </c>
      <c r="J482" s="482">
        <f ca="1">J479*'B. Implementation Plan'!P415</f>
        <v>0</v>
      </c>
      <c r="K482" s="482">
        <f ca="1">K479*'B. Implementation Plan'!P415</f>
        <v>0</v>
      </c>
      <c r="L482" s="482">
        <f ca="1">L479*'B. Implementation Plan'!P415</f>
        <v>0</v>
      </c>
      <c r="M482" s="482">
        <f ca="1">M479*'B. Implementation Plan'!P415</f>
        <v>0</v>
      </c>
      <c r="N482" s="482">
        <f ca="1">N479*'B. Implementation Plan'!P415</f>
        <v>0</v>
      </c>
      <c r="O482" s="482">
        <f ca="1">O479*'B. Implementation Plan'!P415</f>
        <v>0</v>
      </c>
      <c r="P482" s="488">
        <f t="shared" ca="1" si="264"/>
        <v>0</v>
      </c>
    </row>
    <row r="483" spans="3:16" hidden="1" outlineLevel="1" x14ac:dyDescent="0.3">
      <c r="C483" s="433" t="s">
        <v>767</v>
      </c>
      <c r="E483" s="482">
        <f ca="1">E480*'B. Implementation Plan'!P415</f>
        <v>0</v>
      </c>
      <c r="F483" s="482">
        <f ca="1">F480*'B. Implementation Plan'!P415</f>
        <v>0</v>
      </c>
      <c r="G483" s="482">
        <f ca="1">G480*'B. Implementation Plan'!P415</f>
        <v>0</v>
      </c>
      <c r="H483" s="482">
        <f ca="1">H480*'B. Implementation Plan'!P415</f>
        <v>0</v>
      </c>
      <c r="I483" s="482">
        <f ca="1">I480*'B. Implementation Plan'!P415</f>
        <v>0</v>
      </c>
      <c r="J483" s="482">
        <f ca="1">J480*'B. Implementation Plan'!P415</f>
        <v>0</v>
      </c>
      <c r="K483" s="482">
        <f ca="1">K480*'B. Implementation Plan'!P415</f>
        <v>0</v>
      </c>
      <c r="L483" s="482">
        <f ca="1">L480*'B. Implementation Plan'!P415</f>
        <v>0</v>
      </c>
      <c r="M483" s="482">
        <f ca="1">M480*'B. Implementation Plan'!P415</f>
        <v>0</v>
      </c>
      <c r="N483" s="482">
        <f ca="1">N480*'B. Implementation Plan'!P415</f>
        <v>0</v>
      </c>
      <c r="O483" s="482">
        <f ca="1">O480*'B. Implementation Plan'!P415</f>
        <v>0</v>
      </c>
      <c r="P483" s="488">
        <f t="shared" ca="1" si="264"/>
        <v>0</v>
      </c>
    </row>
    <row r="484" spans="3:16" hidden="1" outlineLevel="1" x14ac:dyDescent="0.3">
      <c r="C484" s="433" t="s">
        <v>762</v>
      </c>
      <c r="E484" s="482">
        <f ca="1">IF(OR('B. Implementation Plan'!M419="Y",'B. Implementation Plan'!M419="Yes"),'B. Implementation Plan'!N419*SUM(E454,E457,E460,E463,E466,E469,E472),(E370+E398+SUM(E407:E408)*(E358/E361))*'B. Implementation Plan'!E419)</f>
        <v>0</v>
      </c>
      <c r="F484" s="482">
        <f ca="1">IF(OR('B. Implementation Plan'!M419="Y",'B. Implementation Plan'!M419="Yes"),'B. Implementation Plan'!N419*SUM(F454,F457,F460,F463,F466,F469,F472),(F370+F398+SUM(F407:F408)*(F358/F361))*'B. Implementation Plan'!E419)</f>
        <v>0</v>
      </c>
      <c r="G484" s="482">
        <f ca="1">IF(OR('B. Implementation Plan'!M419="Y",'B. Implementation Plan'!M419="Yes"),'B. Implementation Plan'!N419*SUM(G454,G457,G460,G463,G466,G469,G472),(G370+G398+SUM(G407:G408)*(G358/G361))*'B. Implementation Plan'!E419)</f>
        <v>0</v>
      </c>
      <c r="H484" s="482">
        <f ca="1">IF(OR('B. Implementation Plan'!M419="Y",'B. Implementation Plan'!M419="Yes"),'B. Implementation Plan'!N419*SUM(H454,H457,H460,H463,H466,H469,H472),(H370+H398+SUM(H407:H408)*(H358/H361))*'B. Implementation Plan'!E419)</f>
        <v>0</v>
      </c>
      <c r="I484" s="482">
        <f ca="1">IF(OR('B. Implementation Plan'!M419="Y",'B. Implementation Plan'!M419="Yes"),'B. Implementation Plan'!N419*SUM(I454,I457,I460,I463,I466,I469,I472),(I370+I398+SUM(I407:I408)*(I358/I361))*'B. Implementation Plan'!E419)</f>
        <v>0</v>
      </c>
      <c r="J484" s="482">
        <f ca="1">IF(OR('B. Implementation Plan'!M419="Y",'B. Implementation Plan'!M419="Yes"),'B. Implementation Plan'!N419*SUM(J454,J457,J460,J463,J466,J469,J472),(J370+J398+SUM(J407:J408)*(J358/J361))*'B. Implementation Plan'!E419)</f>
        <v>0</v>
      </c>
      <c r="K484" s="482">
        <f ca="1">IF(OR('B. Implementation Plan'!M419="Y",'B. Implementation Plan'!M419="Yes"),'B. Implementation Plan'!N419*SUM(K454,K457,K460,K463,K466,K469,K472),(K370+K398+SUM(K407:K408)*(K358/K361))*'B. Implementation Plan'!E419)</f>
        <v>0</v>
      </c>
      <c r="L484" s="482">
        <f ca="1">IF(OR('B. Implementation Plan'!M419="Y",'B. Implementation Plan'!M419="Yes"),'B. Implementation Plan'!N419*SUM(L454,L457,L460,L463,L466,L469,L472),(L370+L398+SUM(L407:L408)*(L358/L361))*'B. Implementation Plan'!E419)</f>
        <v>0</v>
      </c>
      <c r="M484" s="482">
        <f ca="1">IF(OR('B. Implementation Plan'!M419="Y",'B. Implementation Plan'!M419="Yes"),'B. Implementation Plan'!N419*SUM(M454,M457,M460,M463,M466,M469,M472),(M370+M398+SUM(M407:M408)*(M358/M361))*'B. Implementation Plan'!E419)</f>
        <v>0</v>
      </c>
      <c r="N484" s="482">
        <f ca="1">IF(OR('B. Implementation Plan'!M419="Y",'B. Implementation Plan'!M419="Yes"),'B. Implementation Plan'!N419*SUM(N454,N457,N460,N463,N466,N469,N472),(N370+N398+SUM(N407:N408)*(N358/N361))*'B. Implementation Plan'!E419)</f>
        <v>0</v>
      </c>
      <c r="O484" s="482">
        <f ca="1">IF(OR('B. Implementation Plan'!M419="Y",'B. Implementation Plan'!M419="Yes"),'B. Implementation Plan'!N419*SUM(O454,O457,O460,O463,O466,O469,O472),(O370+O398+SUM(O407:O408)*(O358/O361))*'B. Implementation Plan'!E419)</f>
        <v>0</v>
      </c>
      <c r="P484" s="488">
        <f t="shared" ca="1" si="264"/>
        <v>0</v>
      </c>
    </row>
    <row r="485" spans="3:16" hidden="1" outlineLevel="1" x14ac:dyDescent="0.3">
      <c r="C485" s="433" t="s">
        <v>763</v>
      </c>
      <c r="E485" s="482">
        <f ca="1">IF(OR('B. Implementation Plan'!M419="Y",'B. Implementation Plan'!M419="Yes"),'B. Implementation Plan'!N419*SUM(E455,E458,E461,E464,E467,E470,E473),(E371+E399+SUM(E407:E408)*(E359/E361))*'B. Implementation Plan'!E419)</f>
        <v>0</v>
      </c>
      <c r="F485" s="482">
        <f ca="1">IF(OR('B. Implementation Plan'!M419="Y",'B. Implementation Plan'!M419="Yes"),'B. Implementation Plan'!N419*SUM(F455,F458,F461,F464,F467,F470,F473),(F371+F399+SUM(F407:F408)*(F359/F361))*'B. Implementation Plan'!E419)</f>
        <v>0</v>
      </c>
      <c r="G485" s="482">
        <f ca="1">IF(OR('B. Implementation Plan'!M419="Y",'B. Implementation Plan'!M419="Yes"),'B. Implementation Plan'!N419*SUM(G455,G458,G461,G464,G467,G470,G473),(G371+G399+SUM(G407:G408)*(G359/G361))*'B. Implementation Plan'!E419)</f>
        <v>0</v>
      </c>
      <c r="H485" s="482">
        <f ca="1">IF(OR('B. Implementation Plan'!M419="Y",'B. Implementation Plan'!M419="Yes"),'B. Implementation Plan'!N419*SUM(H455,H458,H461,H464,H467,H470,H473),(H371+H399+SUM(H407:H408)*(H359/H361))*'B. Implementation Plan'!E419)</f>
        <v>0</v>
      </c>
      <c r="I485" s="482">
        <f ca="1">IF(OR('B. Implementation Plan'!M419="Y",'B. Implementation Plan'!M419="Yes"),'B. Implementation Plan'!N419*SUM(I455,I458,I461,I464,I467,I470,I473),(I371+I399+SUM(I407:I408)*(I359/I361))*'B. Implementation Plan'!E419)</f>
        <v>0</v>
      </c>
      <c r="J485" s="482">
        <f ca="1">IF(OR('B. Implementation Plan'!M419="Y",'B. Implementation Plan'!M419="Yes"),'B. Implementation Plan'!N419*SUM(J455,J458,J461,J464,J467,J470,J473),(J371+J399+SUM(J407:J408)*(J359/J361))*'B. Implementation Plan'!E419)</f>
        <v>0</v>
      </c>
      <c r="K485" s="482">
        <f ca="1">IF(OR('B. Implementation Plan'!M419="Y",'B. Implementation Plan'!M419="Yes"),'B. Implementation Plan'!N419*SUM(K455,K458,K461,K464,K467,K470,K473),(K371+K399+SUM(K407:K408)*(K359/K361))*'B. Implementation Plan'!E419)</f>
        <v>0</v>
      </c>
      <c r="L485" s="482">
        <f ca="1">IF(OR('B. Implementation Plan'!M419="Y",'B. Implementation Plan'!M419="Yes"),'B. Implementation Plan'!N419*SUM(L455,L458,L461,L464,L467,L470,L473),(L371+L399+SUM(L407:L408)*(L359/L361))*'B. Implementation Plan'!E419)</f>
        <v>0</v>
      </c>
      <c r="M485" s="482">
        <f ca="1">IF(OR('B. Implementation Plan'!M419="Y",'B. Implementation Plan'!M419="Yes"),'B. Implementation Plan'!N419*SUM(M455,M458,M461,M464,M467,M470,M473),(M371+M399+SUM(M407:M408)*(M359/M361))*'B. Implementation Plan'!E419)</f>
        <v>0</v>
      </c>
      <c r="N485" s="482">
        <f ca="1">IF(OR('B. Implementation Plan'!M419="Y",'B. Implementation Plan'!M419="Yes"),'B. Implementation Plan'!N419*SUM(N455,N458,N461,N464,N467,N470,N473),(N371+N399+SUM(N407:N408)*(N359/N361))*'B. Implementation Plan'!E419)</f>
        <v>0</v>
      </c>
      <c r="O485" s="482">
        <f ca="1">IF(OR('B. Implementation Plan'!M419="Y",'B. Implementation Plan'!M419="Yes"),'B. Implementation Plan'!N419*SUM(O455,O458,O461,O464,O467,O470,O473),(O371+O399+SUM(O407:O408)*(O359/O361))*'B. Implementation Plan'!E419)</f>
        <v>0</v>
      </c>
      <c r="P485" s="488">
        <f t="shared" ca="1" si="264"/>
        <v>0</v>
      </c>
    </row>
    <row r="486" spans="3:16" hidden="1" outlineLevel="1" x14ac:dyDescent="0.3">
      <c r="C486" s="433" t="s">
        <v>764</v>
      </c>
      <c r="E486" s="482">
        <f ca="1">IF(OR('B. Implementation Plan'!M419="Y",'B. Implementation Plan'!M419="Yes"),'B. Implementation Plan'!N419*SUM(E456,E459,E462,E465,E468,E471,E474),(E372+E400+SUM(E407:E408)*(E360/E361))*'B. Implementation Plan'!E419)</f>
        <v>0</v>
      </c>
      <c r="F486" s="482">
        <f ca="1">IF(OR('B. Implementation Plan'!M419="Y",'B. Implementation Plan'!M419="Yes"),'B. Implementation Plan'!N419*SUM(F456,F459,F462,F465,F468,F471,F474),(F372+F400+SUM(F407:F408)*(F360/F361))*'B. Implementation Plan'!E419)</f>
        <v>0</v>
      </c>
      <c r="G486" s="482">
        <f ca="1">IF(OR('B. Implementation Plan'!M419="Y",'B. Implementation Plan'!M419="Yes"),'B. Implementation Plan'!N419*SUM(G456,G459,G462,G465,G468,G471,G474),(G372+G400+SUM(G407:G408)*(G360/G361))*'B. Implementation Plan'!E419)</f>
        <v>0</v>
      </c>
      <c r="H486" s="482">
        <f ca="1">IF(OR('B. Implementation Plan'!M419="Y",'B. Implementation Plan'!M419="Yes"),'B. Implementation Plan'!N419*SUM(H456,H459,H462,H465,H468,H471,H474),(H372+H400+SUM(H407:H408)*(H360/H361))*'B. Implementation Plan'!E419)</f>
        <v>0</v>
      </c>
      <c r="I486" s="482">
        <f ca="1">IF(OR('B. Implementation Plan'!M419="Y",'B. Implementation Plan'!M419="Yes"),'B. Implementation Plan'!N419*SUM(I456,I459,I462,I465,I468,I471,I474),(I372+I400+SUM(I407:I408)*(I360/I361))*'B. Implementation Plan'!E419)</f>
        <v>0</v>
      </c>
      <c r="J486" s="482">
        <f ca="1">IF(OR('B. Implementation Plan'!M419="Y",'B. Implementation Plan'!M419="Yes"),'B. Implementation Plan'!N419*SUM(J456,J459,J462,J465,J468,J471,J474),(J372+J400+SUM(J407:J408)*(J360/J361))*'B. Implementation Plan'!E419)</f>
        <v>0</v>
      </c>
      <c r="K486" s="482">
        <f ca="1">IF(OR('B. Implementation Plan'!M419="Y",'B. Implementation Plan'!M419="Yes"),'B. Implementation Plan'!N419*SUM(K456,K459,K462,K465,K468,K471,K474),(K372+K400+SUM(K407:K408)*(K360/K361))*'B. Implementation Plan'!E419)</f>
        <v>0</v>
      </c>
      <c r="L486" s="482">
        <f ca="1">IF(OR('B. Implementation Plan'!M419="Y",'B. Implementation Plan'!M419="Yes"),'B. Implementation Plan'!N419*SUM(L456,L459,L462,L465,L468,L471,L474),(L372+L400+SUM(L407:L408)*(L360/L361))*'B. Implementation Plan'!E419)</f>
        <v>0</v>
      </c>
      <c r="M486" s="482">
        <f ca="1">IF(OR('B. Implementation Plan'!M419="Y",'B. Implementation Plan'!M419="Yes"),'B. Implementation Plan'!N419*SUM(M456,M459,M462,M465,M468,M471,M474),(M372+M400+SUM(M407:M408)*(M360/M361))*'B. Implementation Plan'!E419)</f>
        <v>0</v>
      </c>
      <c r="N486" s="482">
        <f ca="1">IF(OR('B. Implementation Plan'!M419="Y",'B. Implementation Plan'!M419="Yes"),'B. Implementation Plan'!N419*SUM(N456,N459,N462,N465,N468,N471,N474),(N372+N400+SUM(N407:N408)*(N360/N361))*'B. Implementation Plan'!E419)</f>
        <v>0</v>
      </c>
      <c r="O486" s="482">
        <f ca="1">IF(OR('B. Implementation Plan'!M419="Y",'B. Implementation Plan'!M419="Yes"),'B. Implementation Plan'!N419*SUM(O456,O459,O462,O465,O468,O471,O474),(O372+O400+SUM(O407:O408)*(O360/O361))*'B. Implementation Plan'!E419)</f>
        <v>0</v>
      </c>
      <c r="P486" s="488">
        <f t="shared" ca="1" si="264"/>
        <v>0</v>
      </c>
    </row>
    <row r="487" spans="3:16" collapsed="1" x14ac:dyDescent="0.3">
      <c r="C487" s="409" t="s">
        <v>768</v>
      </c>
      <c r="E487" s="486">
        <f ca="1">E478+E481+E484</f>
        <v>0</v>
      </c>
      <c r="F487" s="486">
        <f t="shared" ref="F487:O487" ca="1" si="274">F478+F481+F484</f>
        <v>0</v>
      </c>
      <c r="G487" s="486">
        <f t="shared" ca="1" si="274"/>
        <v>0</v>
      </c>
      <c r="H487" s="486">
        <f t="shared" ca="1" si="274"/>
        <v>0</v>
      </c>
      <c r="I487" s="486">
        <f t="shared" ca="1" si="274"/>
        <v>0</v>
      </c>
      <c r="J487" s="486">
        <f t="shared" ca="1" si="274"/>
        <v>0</v>
      </c>
      <c r="K487" s="486">
        <f t="shared" ca="1" si="274"/>
        <v>0</v>
      </c>
      <c r="L487" s="486">
        <f t="shared" ca="1" si="274"/>
        <v>0</v>
      </c>
      <c r="M487" s="486">
        <f t="shared" ca="1" si="274"/>
        <v>0</v>
      </c>
      <c r="N487" s="486">
        <f t="shared" ca="1" si="274"/>
        <v>0</v>
      </c>
      <c r="O487" s="486">
        <f t="shared" ca="1" si="274"/>
        <v>0</v>
      </c>
      <c r="P487" s="489">
        <f t="shared" ca="1" si="264"/>
        <v>0</v>
      </c>
    </row>
    <row r="488" spans="3:16" x14ac:dyDescent="0.3">
      <c r="C488" s="409" t="s">
        <v>769</v>
      </c>
      <c r="E488" s="486">
        <f t="shared" ref="E488:O488" ca="1" si="275">E479+E482+E485</f>
        <v>0</v>
      </c>
      <c r="F488" s="486">
        <f t="shared" ca="1" si="275"/>
        <v>0</v>
      </c>
      <c r="G488" s="486">
        <f t="shared" ca="1" si="275"/>
        <v>0</v>
      </c>
      <c r="H488" s="486">
        <f t="shared" ca="1" si="275"/>
        <v>0</v>
      </c>
      <c r="I488" s="486">
        <f t="shared" ca="1" si="275"/>
        <v>0</v>
      </c>
      <c r="J488" s="486">
        <f t="shared" ca="1" si="275"/>
        <v>0</v>
      </c>
      <c r="K488" s="486">
        <f t="shared" ca="1" si="275"/>
        <v>0</v>
      </c>
      <c r="L488" s="486">
        <f t="shared" ca="1" si="275"/>
        <v>0</v>
      </c>
      <c r="M488" s="486">
        <f t="shared" ca="1" si="275"/>
        <v>0</v>
      </c>
      <c r="N488" s="486">
        <f t="shared" ca="1" si="275"/>
        <v>0</v>
      </c>
      <c r="O488" s="486">
        <f t="shared" ca="1" si="275"/>
        <v>0</v>
      </c>
      <c r="P488" s="489">
        <f t="shared" ca="1" si="264"/>
        <v>0</v>
      </c>
    </row>
    <row r="489" spans="3:16" x14ac:dyDescent="0.3">
      <c r="C489" s="409" t="s">
        <v>770</v>
      </c>
      <c r="E489" s="486">
        <f t="shared" ref="E489:O489" ca="1" si="276">E480+E483+E486</f>
        <v>0</v>
      </c>
      <c r="F489" s="486">
        <f t="shared" ca="1" si="276"/>
        <v>0</v>
      </c>
      <c r="G489" s="486">
        <f t="shared" ca="1" si="276"/>
        <v>0</v>
      </c>
      <c r="H489" s="486">
        <f t="shared" ca="1" si="276"/>
        <v>0</v>
      </c>
      <c r="I489" s="486">
        <f t="shared" ca="1" si="276"/>
        <v>0</v>
      </c>
      <c r="J489" s="486">
        <f t="shared" ca="1" si="276"/>
        <v>0</v>
      </c>
      <c r="K489" s="486">
        <f t="shared" ca="1" si="276"/>
        <v>0</v>
      </c>
      <c r="L489" s="486">
        <f t="shared" ca="1" si="276"/>
        <v>0</v>
      </c>
      <c r="M489" s="486">
        <f t="shared" ca="1" si="276"/>
        <v>0</v>
      </c>
      <c r="N489" s="486">
        <f t="shared" ca="1" si="276"/>
        <v>0</v>
      </c>
      <c r="O489" s="486">
        <f t="shared" ca="1" si="276"/>
        <v>0</v>
      </c>
      <c r="P489" s="489">
        <f t="shared" ca="1" si="264"/>
        <v>0</v>
      </c>
    </row>
    <row r="490" spans="3:16" s="365" customFormat="1" x14ac:dyDescent="0.3">
      <c r="C490" s="365" t="s">
        <v>790</v>
      </c>
      <c r="E490" s="482">
        <f t="shared" ref="E490:O490" ca="1" si="277">IFERROR(E435*(E370+E398)/(E373+E401),0)</f>
        <v>0</v>
      </c>
      <c r="F490" s="482">
        <f t="shared" ca="1" si="277"/>
        <v>0</v>
      </c>
      <c r="G490" s="482">
        <f t="shared" ca="1" si="277"/>
        <v>0</v>
      </c>
      <c r="H490" s="482">
        <f t="shared" ca="1" si="277"/>
        <v>0</v>
      </c>
      <c r="I490" s="482">
        <f t="shared" ca="1" si="277"/>
        <v>0</v>
      </c>
      <c r="J490" s="482">
        <f t="shared" ca="1" si="277"/>
        <v>0</v>
      </c>
      <c r="K490" s="482">
        <f t="shared" ca="1" si="277"/>
        <v>0</v>
      </c>
      <c r="L490" s="482">
        <f t="shared" ca="1" si="277"/>
        <v>0</v>
      </c>
      <c r="M490" s="482">
        <f t="shared" ca="1" si="277"/>
        <v>0</v>
      </c>
      <c r="N490" s="482">
        <f t="shared" ca="1" si="277"/>
        <v>0</v>
      </c>
      <c r="O490" s="482">
        <f t="shared" ca="1" si="277"/>
        <v>0</v>
      </c>
      <c r="P490" s="488">
        <f t="shared" ca="1" si="264"/>
        <v>0</v>
      </c>
    </row>
    <row r="491" spans="3:16" s="365" customFormat="1" x14ac:dyDescent="0.3">
      <c r="C491" s="365" t="s">
        <v>791</v>
      </c>
      <c r="E491" s="482">
        <f t="shared" ref="E491:O491" ca="1" si="278">IFERROR(E435*(E371+E399)/(E373+E401),0)</f>
        <v>0</v>
      </c>
      <c r="F491" s="482">
        <f t="shared" ca="1" si="278"/>
        <v>0</v>
      </c>
      <c r="G491" s="482">
        <f t="shared" ca="1" si="278"/>
        <v>0</v>
      </c>
      <c r="H491" s="482">
        <f t="shared" ca="1" si="278"/>
        <v>0</v>
      </c>
      <c r="I491" s="482">
        <f t="shared" ca="1" si="278"/>
        <v>0</v>
      </c>
      <c r="J491" s="482">
        <f t="shared" ca="1" si="278"/>
        <v>0</v>
      </c>
      <c r="K491" s="482">
        <f t="shared" ca="1" si="278"/>
        <v>0</v>
      </c>
      <c r="L491" s="482">
        <f t="shared" ca="1" si="278"/>
        <v>0</v>
      </c>
      <c r="M491" s="482">
        <f t="shared" ca="1" si="278"/>
        <v>0</v>
      </c>
      <c r="N491" s="482">
        <f t="shared" ca="1" si="278"/>
        <v>0</v>
      </c>
      <c r="O491" s="482">
        <f t="shared" ca="1" si="278"/>
        <v>0</v>
      </c>
      <c r="P491" s="488">
        <f t="shared" ca="1" si="264"/>
        <v>0</v>
      </c>
    </row>
    <row r="492" spans="3:16" s="365" customFormat="1" x14ac:dyDescent="0.3">
      <c r="C492" s="365" t="s">
        <v>792</v>
      </c>
      <c r="E492" s="482">
        <f t="shared" ref="E492:O492" ca="1" si="279">IFERROR(E435*(E372+E400)/(E373+E401),0)</f>
        <v>0</v>
      </c>
      <c r="F492" s="482">
        <f t="shared" ca="1" si="279"/>
        <v>0</v>
      </c>
      <c r="G492" s="482">
        <f t="shared" ca="1" si="279"/>
        <v>0</v>
      </c>
      <c r="H492" s="482">
        <f t="shared" ca="1" si="279"/>
        <v>0</v>
      </c>
      <c r="I492" s="482">
        <f t="shared" ca="1" si="279"/>
        <v>0</v>
      </c>
      <c r="J492" s="482">
        <f t="shared" ca="1" si="279"/>
        <v>0</v>
      </c>
      <c r="K492" s="482">
        <f t="shared" ca="1" si="279"/>
        <v>0</v>
      </c>
      <c r="L492" s="482">
        <f t="shared" ca="1" si="279"/>
        <v>0</v>
      </c>
      <c r="M492" s="482">
        <f t="shared" ca="1" si="279"/>
        <v>0</v>
      </c>
      <c r="N492" s="482">
        <f t="shared" ca="1" si="279"/>
        <v>0</v>
      </c>
      <c r="O492" s="482">
        <f t="shared" ca="1" si="279"/>
        <v>0</v>
      </c>
      <c r="P492" s="488">
        <f t="shared" ca="1" si="264"/>
        <v>0</v>
      </c>
    </row>
    <row r="493" spans="3:16" s="1" customFormat="1" x14ac:dyDescent="0.3">
      <c r="C493" s="409" t="s">
        <v>771</v>
      </c>
      <c r="E493" s="486">
        <f ca="1">IFERROR(IF(OR('B. Implementation Plan'!K442="Y",'B. Implementation Plan'!K442="Yes"),(E362/E365*E357)*('B. Implementation Plan'!L442+'B. Implementation Plan'!E465+'B. Implementation Plan'!E466)*(1+E19)^E453,(E362/E365*E357)*('B. Implementation Plan'!E442+'B. Implementation Plan'!E465+'B. Implementation Plan'!E466)*(1+E19)^E453),0)</f>
        <v>0</v>
      </c>
      <c r="F493" s="486">
        <f ca="1">IFERROR(IF(OR('B. Implementation Plan'!K442="Y",'B. Implementation Plan'!K442="Yes"),(F362/F365*F357)*('B. Implementation Plan'!L442+'B. Implementation Plan'!E465+'B. Implementation Plan'!E466)*(1+E19)^F453,(F362/F365*F357)*('B. Implementation Plan'!E442+'B. Implementation Plan'!E465+'B. Implementation Plan'!E466)*(1+E19)^F453),0)</f>
        <v>0</v>
      </c>
      <c r="G493" s="486">
        <f ca="1">IFERROR(IF(OR('B. Implementation Plan'!K442="Y",'B. Implementation Plan'!K442="Yes"),(G362/G365*G357)*('B. Implementation Plan'!L442+'B. Implementation Plan'!E465+'B. Implementation Plan'!E466)*(1+E19)^G453,(G362/G365*G357)*('B. Implementation Plan'!E442+'B. Implementation Plan'!E465+'B. Implementation Plan'!E466)*(1+E19)^G453),0)</f>
        <v>0</v>
      </c>
      <c r="H493" s="486">
        <f ca="1">IFERROR(IF(OR('B. Implementation Plan'!K442="Y",'B. Implementation Plan'!K442="Yes"),(H362/H365*H357)*('B. Implementation Plan'!L442+'B. Implementation Plan'!E465+'B. Implementation Plan'!E466)*(1+E19)^H453,(H362/H365*H357)*('B. Implementation Plan'!E442+'B. Implementation Plan'!E465+'B. Implementation Plan'!E466)*(1+E19)^H453),0)</f>
        <v>0</v>
      </c>
      <c r="I493" s="486">
        <f ca="1">IFERROR(IF(OR('B. Implementation Plan'!K442="Y",'B. Implementation Plan'!K442="Yes"),(I362/I365*I357)*('B. Implementation Plan'!L442+'B. Implementation Plan'!E465+'B. Implementation Plan'!E466)*(1+E19)^I453,(I362/I365*I357)*('B. Implementation Plan'!E442+'B. Implementation Plan'!E465+'B. Implementation Plan'!E466)*(1+E19)^I453),0)</f>
        <v>0</v>
      </c>
      <c r="J493" s="486">
        <f ca="1">IFERROR(IF(OR('B. Implementation Plan'!K442="Y",'B. Implementation Plan'!K442="Yes"),(J362/J365*J357)*('B. Implementation Plan'!L442+'B. Implementation Plan'!E465+'B. Implementation Plan'!E466)*(1+E19)^J453,(J362/J365*J357)*('B. Implementation Plan'!E442+'B. Implementation Plan'!E465+'B. Implementation Plan'!E466)*(1+E19)^J453),0)</f>
        <v>0</v>
      </c>
      <c r="K493" s="486">
        <f ca="1">IFERROR(IF(OR('B. Implementation Plan'!K442="Y",'B. Implementation Plan'!K442="Yes"),(K362/K365*K357)*('B. Implementation Plan'!L442+'B. Implementation Plan'!E465+'B. Implementation Plan'!E466)*(1+E19)^K453,(K362/K365*K357)*('B. Implementation Plan'!E442+'B. Implementation Plan'!E465+'B. Implementation Plan'!E466)*(1+E19)^K453),0)</f>
        <v>0</v>
      </c>
      <c r="L493" s="486">
        <f ca="1">IFERROR(IF(OR('B. Implementation Plan'!K442="Y",'B. Implementation Plan'!K442="Yes"),(L362/L365*L357)*('B. Implementation Plan'!L442+'B. Implementation Plan'!E465+'B. Implementation Plan'!E466)*(1+E19)^L453,(L362/L365*L357)*('B. Implementation Plan'!E442+'B. Implementation Plan'!E465+'B. Implementation Plan'!E466)*(1+E19)^L453),0)</f>
        <v>0</v>
      </c>
      <c r="M493" s="486">
        <f ca="1">IFERROR(IF(OR('B. Implementation Plan'!K442="Y",'B. Implementation Plan'!K442="Yes"),(M362/M365*M357)*('B. Implementation Plan'!L442+'B. Implementation Plan'!E465+'B. Implementation Plan'!E466)*(1+E19)^M453,(M362/M365*M357)*('B. Implementation Plan'!E442+'B. Implementation Plan'!E465+'B. Implementation Plan'!E466)*(1+E19)^M453),0)</f>
        <v>0</v>
      </c>
      <c r="N493" s="486">
        <f ca="1">IFERROR(IF(OR('B. Implementation Plan'!K442="Y",'B. Implementation Plan'!K442="Yes"),(N362/N365*N357)*('B. Implementation Plan'!L442+'B. Implementation Plan'!E465+'B. Implementation Plan'!E466)*(1+E19)^N453,(N362/N365*N357)*('B. Implementation Plan'!E442+'B. Implementation Plan'!E465+'B. Implementation Plan'!E466)*(1+E19)^N453),0)</f>
        <v>0</v>
      </c>
      <c r="O493" s="486">
        <f ca="1">IFERROR(IF(OR('B. Implementation Plan'!K442="Y",'B. Implementation Plan'!K442="Yes"),(O362/O365*O357)*('B. Implementation Plan'!L442+'B. Implementation Plan'!E465+'B. Implementation Plan'!E466)*(1+E19)^O453,(O362/O365*O357)*('B. Implementation Plan'!E442+'B. Implementation Plan'!E465+'B. Implementation Plan'!E466)*(1+E19)^O453),0)</f>
        <v>0</v>
      </c>
      <c r="P493" s="489">
        <f t="shared" ca="1" si="264"/>
        <v>0</v>
      </c>
    </row>
    <row r="494" spans="3:16" s="1" customFormat="1" x14ac:dyDescent="0.3">
      <c r="C494" s="409" t="s">
        <v>772</v>
      </c>
      <c r="E494" s="486">
        <f ca="1">IFERROR(IF(OR('B. Implementation Plan'!K442="Y",'B. Implementation Plan'!K442="Yes"),(E363/E365*E357)*('B. Implementation Plan'!M442+'B. Implementation Plan'!E465+'B. Implementation Plan'!E466)*(1+E19)^E453,(E363/E365*E357)*('B. Implementation Plan'!F442+'B. Implementation Plan'!E465+'B. Implementation Plan'!E466)*(1+E19)^E453),0)</f>
        <v>0</v>
      </c>
      <c r="F494" s="486">
        <f ca="1">IFERROR(IF(OR('B. Implementation Plan'!K442="Y",'B. Implementation Plan'!K442="Yes"),(F363/F365*F357)*('B. Implementation Plan'!M442+'B. Implementation Plan'!E465+'B. Implementation Plan'!E466)*(1+E19)^F453,(F363/F365*F357)*('B. Implementation Plan'!F442+'B. Implementation Plan'!E465+'B. Implementation Plan'!E466)*(1+E19)^F453),0)</f>
        <v>0</v>
      </c>
      <c r="G494" s="486">
        <f ca="1">IFERROR(IF(OR('B. Implementation Plan'!K442="Y",'B. Implementation Plan'!K442="Yes"),(G363/G365*G357)*('B. Implementation Plan'!M442+'B. Implementation Plan'!E465+'B. Implementation Plan'!E466)*(1+E19)^G453,(G363/G365*G357)*('B. Implementation Plan'!F442+'B. Implementation Plan'!E465+'B. Implementation Plan'!E466)*(1+E19)^G453),0)</f>
        <v>0</v>
      </c>
      <c r="H494" s="486">
        <f ca="1">IFERROR(IF(OR('B. Implementation Plan'!K442="Y",'B. Implementation Plan'!K442="Yes"),(H363/H365*H357)*('B. Implementation Plan'!M442+'B. Implementation Plan'!E465+'B. Implementation Plan'!E466)*(1+E19)^H453,(H363/H365*H357)*('B. Implementation Plan'!F442+'B. Implementation Plan'!E465+'B. Implementation Plan'!E466)*(1+E19)^H453),0)</f>
        <v>0</v>
      </c>
      <c r="I494" s="486">
        <f ca="1">IFERROR(IF(OR('B. Implementation Plan'!K442="Y",'B. Implementation Plan'!K442="Yes"),(I363/I365*I357)*('B. Implementation Plan'!M442+'B. Implementation Plan'!E465+'B. Implementation Plan'!E466)*(1+E19)^I453,(I363/I365*I357)*('B. Implementation Plan'!F442+'B. Implementation Plan'!E465+'B. Implementation Plan'!E466)*(1+E19)^I453),0)</f>
        <v>0</v>
      </c>
      <c r="J494" s="486">
        <f ca="1">IFERROR(IF(OR('B. Implementation Plan'!K442="Y",'B. Implementation Plan'!K442="Yes"),(J363/J365*J357)*('B. Implementation Plan'!M442+'B. Implementation Plan'!E465+'B. Implementation Plan'!E466)*(1+E19)^J453,(J363/J365*J357)*('B. Implementation Plan'!F442+'B. Implementation Plan'!E465+'B. Implementation Plan'!E466)*(1+E19)^J453),0)</f>
        <v>0</v>
      </c>
      <c r="K494" s="486">
        <f ca="1">IFERROR(IF(OR('B. Implementation Plan'!K442="Y",'B. Implementation Plan'!K442="Yes"),(K363/K365*K357)*('B. Implementation Plan'!M442+'B. Implementation Plan'!E465+'B. Implementation Plan'!E466)*(1+E19)^K453,(K363/K365*K357)*('B. Implementation Plan'!F442+'B. Implementation Plan'!E465+'B. Implementation Plan'!E466)*(1+E19)^K453),0)</f>
        <v>0</v>
      </c>
      <c r="L494" s="486">
        <f ca="1">IFERROR(IF(OR('B. Implementation Plan'!K442="Y",'B. Implementation Plan'!K442="Yes"),(L363/L365*L357)*('B. Implementation Plan'!M442+'B. Implementation Plan'!E465+'B. Implementation Plan'!E466)*(1+E19)^L453,(L363/L365*L357)*('B. Implementation Plan'!F442+'B. Implementation Plan'!E465+'B. Implementation Plan'!E466)*(1+E19)^L453),0)</f>
        <v>0</v>
      </c>
      <c r="M494" s="486">
        <f ca="1">IFERROR(IF(OR('B. Implementation Plan'!K442="Y",'B. Implementation Plan'!K442="Yes"),(M363/M365*M357)*('B. Implementation Plan'!M442+'B. Implementation Plan'!E465+'B. Implementation Plan'!E466)*(1+E19)^M453,(M363/M365*M357)*('B. Implementation Plan'!F442+'B. Implementation Plan'!E465+'B. Implementation Plan'!E466)*(1+E19)^M453),0)</f>
        <v>0</v>
      </c>
      <c r="N494" s="486">
        <f ca="1">IFERROR(IF(OR('B. Implementation Plan'!K442="Y",'B. Implementation Plan'!K442="Yes"),(N363/N365*N357)*('B. Implementation Plan'!M442+'B. Implementation Plan'!E465+'B. Implementation Plan'!E466)*(1+E19)^N453,(N363/N365*N357)*('B. Implementation Plan'!F442+'B. Implementation Plan'!E465+'B. Implementation Plan'!E466)*(1+E19)^N453),0)</f>
        <v>0</v>
      </c>
      <c r="O494" s="486">
        <f ca="1">IFERROR(IF(OR('B. Implementation Plan'!K442="Y",'B. Implementation Plan'!K442="Yes"),(O363/O365*O357)*('B. Implementation Plan'!M442+'B. Implementation Plan'!E465+'B. Implementation Plan'!E466)*(1+E19)^O453,(O363/O365*O357)*('B. Implementation Plan'!F442+'B. Implementation Plan'!E465+'B. Implementation Plan'!E466)*(1+E19)^O453),0)</f>
        <v>0</v>
      </c>
      <c r="P494" s="489">
        <f t="shared" ca="1" si="264"/>
        <v>0</v>
      </c>
    </row>
    <row r="495" spans="3:16" s="1" customFormat="1" x14ac:dyDescent="0.3">
      <c r="C495" s="409" t="s">
        <v>773</v>
      </c>
      <c r="E495" s="486">
        <f ca="1">IFERROR(IF(OR('B. Implementation Plan'!K442="Y",'B. Implementation Plan'!K442="Yes"),(E364/E365*E357)*('B. Implementation Plan'!N442+'B. Implementation Plan'!E465+'B. Implementation Plan'!E466)*(1+E19)^E453,(E364/E365*E357)*('B. Implementation Plan'!G442+'B. Implementation Plan'!E465+'B. Implementation Plan'!E466)*(1+E19)^E453),0)</f>
        <v>0</v>
      </c>
      <c r="F495" s="486">
        <f ca="1">IFERROR(IF(OR('B. Implementation Plan'!K442="Y",'B. Implementation Plan'!K442="Yes"),(F364/F365*F357)*('B. Implementation Plan'!N442+'B. Implementation Plan'!E465+'B. Implementation Plan'!E466)*(1+E19)^F453,(F364/F365*F357)*('B. Implementation Plan'!G442+'B. Implementation Plan'!E465+'B. Implementation Plan'!E466)*(1+E19)^F453),0)</f>
        <v>0</v>
      </c>
      <c r="G495" s="486">
        <f ca="1">IFERROR(IF(OR('B. Implementation Plan'!K442="Y",'B. Implementation Plan'!K442="Yes"),(G364/G365*G357)*('B. Implementation Plan'!N442+'B. Implementation Plan'!E465+'B. Implementation Plan'!E466)*(1+E19)^G453,(G364/G365*G357)*('B. Implementation Plan'!G442+'B. Implementation Plan'!E465+'B. Implementation Plan'!E466)*(1+E19)^G453),0)</f>
        <v>0</v>
      </c>
      <c r="H495" s="486">
        <f ca="1">IFERROR(IF(OR('B. Implementation Plan'!K442="Y",'B. Implementation Plan'!K442="Yes"),(H364/H365*H357)*('B. Implementation Plan'!N442+'B. Implementation Plan'!E465+'B. Implementation Plan'!E466)*(1+E19)^H453,(H364/H365*H357)*('B. Implementation Plan'!G442+'B. Implementation Plan'!E465+'B. Implementation Plan'!E466)*(1+E19)^H453),0)</f>
        <v>0</v>
      </c>
      <c r="I495" s="486">
        <f ca="1">IFERROR(IF(OR('B. Implementation Plan'!K442="Y",'B. Implementation Plan'!K442="Yes"),(I364/I365*I357)*('B. Implementation Plan'!N442+'B. Implementation Plan'!E465+'B. Implementation Plan'!E466)*(1+E19)^I453,(I364/I365*I357)*('B. Implementation Plan'!G442+'B. Implementation Plan'!E465+'B. Implementation Plan'!E466)*(1+E19)^I453),0)</f>
        <v>0</v>
      </c>
      <c r="J495" s="486">
        <f ca="1">IFERROR(IF(OR('B. Implementation Plan'!K442="Y",'B. Implementation Plan'!K442="Yes"),(J364/J365*J357)*('B. Implementation Plan'!N442+'B. Implementation Plan'!E465+'B. Implementation Plan'!E466)*(1+E19)^J453,(J364/J365*J357)*('B. Implementation Plan'!G442+'B. Implementation Plan'!E465+'B. Implementation Plan'!E466)*(1+E19)^J453),0)</f>
        <v>0</v>
      </c>
      <c r="K495" s="486">
        <f ca="1">IFERROR(IF(OR('B. Implementation Plan'!K442="Y",'B. Implementation Plan'!K442="Yes"),(K364/K365*K357)*('B. Implementation Plan'!N442+'B. Implementation Plan'!E465+'B. Implementation Plan'!E466)*(1+E19)^K453,(K364/K365*K357)*('B. Implementation Plan'!G442+'B. Implementation Plan'!E465+'B. Implementation Plan'!E466)*(1+E19)^K453),0)</f>
        <v>0</v>
      </c>
      <c r="L495" s="486">
        <f ca="1">IFERROR(IF(OR('B. Implementation Plan'!K442="Y",'B. Implementation Plan'!K442="Yes"),(L364/L365*L357)*('B. Implementation Plan'!N442+'B. Implementation Plan'!E465+'B. Implementation Plan'!E466)*(1+E19)^L453,(L364/L365*L357)*('B. Implementation Plan'!G442+'B. Implementation Plan'!E465+'B. Implementation Plan'!E466)*(1+E19)^L453),0)</f>
        <v>0</v>
      </c>
      <c r="M495" s="486">
        <f ca="1">IFERROR(IF(OR('B. Implementation Plan'!K442="Y",'B. Implementation Plan'!K442="Yes"),(M364/M365*M357)*('B. Implementation Plan'!N442+'B. Implementation Plan'!E465+'B. Implementation Plan'!E466)*(1+E19)^M453,(M364/M365*M357)*('B. Implementation Plan'!G442+'B. Implementation Plan'!E465+'B. Implementation Plan'!E466)*(1+E19)^M453),0)</f>
        <v>0</v>
      </c>
      <c r="N495" s="486">
        <f ca="1">IFERROR(IF(OR('B. Implementation Plan'!K442="Y",'B. Implementation Plan'!K442="Yes"),(N364/N365*N357)*('B. Implementation Plan'!N442+'B. Implementation Plan'!E465+'B. Implementation Plan'!E466)*(1+E19)^N453,(N364/N365*N357)*('B. Implementation Plan'!G442+'B. Implementation Plan'!E465+'B. Implementation Plan'!E466)*(1+E19)^N453),0)</f>
        <v>0</v>
      </c>
      <c r="O495" s="486">
        <f ca="1">IFERROR(IF(OR('B. Implementation Plan'!K442="Y",'B. Implementation Plan'!K442="Yes"),(O364/O365*O357)*('B. Implementation Plan'!N442+'B. Implementation Plan'!E465+'B. Implementation Plan'!E466)*(1+E19)^O453,(O364/O365*O357)*('B. Implementation Plan'!G442+'B. Implementation Plan'!E465+'B. Implementation Plan'!E466)*(1+E19)^O453),0)</f>
        <v>0</v>
      </c>
      <c r="P495" s="489">
        <f t="shared" ca="1" si="264"/>
        <v>0</v>
      </c>
    </row>
    <row r="496" spans="3:16" s="365" customFormat="1" x14ac:dyDescent="0.3">
      <c r="C496" s="470" t="s">
        <v>774</v>
      </c>
      <c r="E496" s="482">
        <f t="shared" ref="E496:O496" ca="1" si="280">IFERROR(E442*E358/E361,0)</f>
        <v>0</v>
      </c>
      <c r="F496" s="482">
        <f t="shared" ca="1" si="280"/>
        <v>0</v>
      </c>
      <c r="G496" s="482">
        <f t="shared" ca="1" si="280"/>
        <v>0</v>
      </c>
      <c r="H496" s="482">
        <f t="shared" ca="1" si="280"/>
        <v>0</v>
      </c>
      <c r="I496" s="482">
        <f t="shared" ca="1" si="280"/>
        <v>0</v>
      </c>
      <c r="J496" s="482">
        <f t="shared" ca="1" si="280"/>
        <v>0</v>
      </c>
      <c r="K496" s="482">
        <f t="shared" ca="1" si="280"/>
        <v>0</v>
      </c>
      <c r="L496" s="482">
        <f t="shared" ca="1" si="280"/>
        <v>0</v>
      </c>
      <c r="M496" s="482">
        <f t="shared" ca="1" si="280"/>
        <v>0</v>
      </c>
      <c r="N496" s="482">
        <f t="shared" ca="1" si="280"/>
        <v>0</v>
      </c>
      <c r="O496" s="482">
        <f t="shared" ca="1" si="280"/>
        <v>0</v>
      </c>
      <c r="P496" s="488">
        <f t="shared" ca="1" si="264"/>
        <v>0</v>
      </c>
    </row>
    <row r="497" spans="3:16" s="365" customFormat="1" ht="14.55" customHeight="1" x14ac:dyDescent="0.3">
      <c r="C497" s="470" t="s">
        <v>775</v>
      </c>
      <c r="E497" s="482">
        <f t="shared" ref="E497:O497" ca="1" si="281">IFERROR(E442*E359/E361,0)</f>
        <v>0</v>
      </c>
      <c r="F497" s="482">
        <f t="shared" ca="1" si="281"/>
        <v>0</v>
      </c>
      <c r="G497" s="482">
        <f t="shared" ca="1" si="281"/>
        <v>0</v>
      </c>
      <c r="H497" s="482">
        <f t="shared" ca="1" si="281"/>
        <v>0</v>
      </c>
      <c r="I497" s="482">
        <f t="shared" ca="1" si="281"/>
        <v>0</v>
      </c>
      <c r="J497" s="482">
        <f t="shared" ca="1" si="281"/>
        <v>0</v>
      </c>
      <c r="K497" s="482">
        <f t="shared" ca="1" si="281"/>
        <v>0</v>
      </c>
      <c r="L497" s="482">
        <f t="shared" ca="1" si="281"/>
        <v>0</v>
      </c>
      <c r="M497" s="482">
        <f t="shared" ca="1" si="281"/>
        <v>0</v>
      </c>
      <c r="N497" s="482">
        <f t="shared" ca="1" si="281"/>
        <v>0</v>
      </c>
      <c r="O497" s="482">
        <f t="shared" ca="1" si="281"/>
        <v>0</v>
      </c>
      <c r="P497" s="488">
        <f t="shared" ca="1" si="264"/>
        <v>0</v>
      </c>
    </row>
    <row r="498" spans="3:16" s="365" customFormat="1" ht="14.55" customHeight="1" x14ac:dyDescent="0.3">
      <c r="C498" s="470" t="s">
        <v>776</v>
      </c>
      <c r="E498" s="482">
        <f t="shared" ref="E498:O498" ca="1" si="282">IFERROR(E442*E360/E361,0)</f>
        <v>0</v>
      </c>
      <c r="F498" s="482">
        <f t="shared" ca="1" si="282"/>
        <v>0</v>
      </c>
      <c r="G498" s="482">
        <f t="shared" ca="1" si="282"/>
        <v>0</v>
      </c>
      <c r="H498" s="482">
        <f t="shared" ca="1" si="282"/>
        <v>0</v>
      </c>
      <c r="I498" s="482">
        <f t="shared" ca="1" si="282"/>
        <v>0</v>
      </c>
      <c r="J498" s="482">
        <f t="shared" ca="1" si="282"/>
        <v>0</v>
      </c>
      <c r="K498" s="482">
        <f t="shared" ca="1" si="282"/>
        <v>0</v>
      </c>
      <c r="L498" s="482">
        <f t="shared" ca="1" si="282"/>
        <v>0</v>
      </c>
      <c r="M498" s="482">
        <f t="shared" ca="1" si="282"/>
        <v>0</v>
      </c>
      <c r="N498" s="482">
        <f t="shared" ca="1" si="282"/>
        <v>0</v>
      </c>
      <c r="O498" s="482">
        <f t="shared" ca="1" si="282"/>
        <v>0</v>
      </c>
      <c r="P498" s="488">
        <f t="shared" ca="1" si="264"/>
        <v>0</v>
      </c>
    </row>
    <row r="499" spans="3:16" s="1" customFormat="1" x14ac:dyDescent="0.3">
      <c r="C499" s="409" t="s">
        <v>777</v>
      </c>
      <c r="E499" s="486">
        <f t="shared" ref="E499:O499" ca="1" si="283">IFERROR(E443*E358/E361,0)</f>
        <v>0</v>
      </c>
      <c r="F499" s="486">
        <f t="shared" ca="1" si="283"/>
        <v>0</v>
      </c>
      <c r="G499" s="486">
        <f t="shared" ca="1" si="283"/>
        <v>0</v>
      </c>
      <c r="H499" s="486">
        <f t="shared" ca="1" si="283"/>
        <v>0</v>
      </c>
      <c r="I499" s="486">
        <f t="shared" ca="1" si="283"/>
        <v>0</v>
      </c>
      <c r="J499" s="486">
        <f t="shared" ca="1" si="283"/>
        <v>0</v>
      </c>
      <c r="K499" s="486">
        <f t="shared" ca="1" si="283"/>
        <v>0</v>
      </c>
      <c r="L499" s="486">
        <f t="shared" ca="1" si="283"/>
        <v>0</v>
      </c>
      <c r="M499" s="486">
        <f t="shared" ca="1" si="283"/>
        <v>0</v>
      </c>
      <c r="N499" s="486">
        <f t="shared" ca="1" si="283"/>
        <v>0</v>
      </c>
      <c r="O499" s="486">
        <f t="shared" ca="1" si="283"/>
        <v>0</v>
      </c>
      <c r="P499" s="489">
        <f t="shared" ca="1" si="264"/>
        <v>0</v>
      </c>
    </row>
    <row r="500" spans="3:16" s="1" customFormat="1" x14ac:dyDescent="0.3">
      <c r="C500" s="409" t="s">
        <v>778</v>
      </c>
      <c r="E500" s="486">
        <f t="shared" ref="E500:O500" ca="1" si="284">IFERROR(E443*E359/E361,0)</f>
        <v>0</v>
      </c>
      <c r="F500" s="486">
        <f t="shared" ca="1" si="284"/>
        <v>0</v>
      </c>
      <c r="G500" s="486">
        <f t="shared" ca="1" si="284"/>
        <v>0</v>
      </c>
      <c r="H500" s="486">
        <f t="shared" ca="1" si="284"/>
        <v>0</v>
      </c>
      <c r="I500" s="486">
        <f t="shared" ca="1" si="284"/>
        <v>0</v>
      </c>
      <c r="J500" s="486">
        <f t="shared" ca="1" si="284"/>
        <v>0</v>
      </c>
      <c r="K500" s="486">
        <f t="shared" ca="1" si="284"/>
        <v>0</v>
      </c>
      <c r="L500" s="486">
        <f t="shared" ca="1" si="284"/>
        <v>0</v>
      </c>
      <c r="M500" s="486">
        <f t="shared" ca="1" si="284"/>
        <v>0</v>
      </c>
      <c r="N500" s="486">
        <f t="shared" ca="1" si="284"/>
        <v>0</v>
      </c>
      <c r="O500" s="486">
        <f t="shared" ca="1" si="284"/>
        <v>0</v>
      </c>
      <c r="P500" s="489">
        <f t="shared" ca="1" si="264"/>
        <v>0</v>
      </c>
    </row>
    <row r="501" spans="3:16" s="1" customFormat="1" x14ac:dyDescent="0.3">
      <c r="C501" s="409" t="s">
        <v>779</v>
      </c>
      <c r="E501" s="486">
        <f t="shared" ref="E501:O501" ca="1" si="285">IFERROR(E443*E360/E361,0)</f>
        <v>0</v>
      </c>
      <c r="F501" s="486">
        <f t="shared" ca="1" si="285"/>
        <v>0</v>
      </c>
      <c r="G501" s="486">
        <f t="shared" ca="1" si="285"/>
        <v>0</v>
      </c>
      <c r="H501" s="486">
        <f t="shared" ca="1" si="285"/>
        <v>0</v>
      </c>
      <c r="I501" s="486">
        <f t="shared" ca="1" si="285"/>
        <v>0</v>
      </c>
      <c r="J501" s="486">
        <f t="shared" ca="1" si="285"/>
        <v>0</v>
      </c>
      <c r="K501" s="486">
        <f t="shared" ca="1" si="285"/>
        <v>0</v>
      </c>
      <c r="L501" s="486">
        <f t="shared" ca="1" si="285"/>
        <v>0</v>
      </c>
      <c r="M501" s="486">
        <f t="shared" ca="1" si="285"/>
        <v>0</v>
      </c>
      <c r="N501" s="486">
        <f t="shared" ca="1" si="285"/>
        <v>0</v>
      </c>
      <c r="O501" s="486">
        <f t="shared" ca="1" si="285"/>
        <v>0</v>
      </c>
      <c r="P501" s="489">
        <f t="shared" ca="1" si="264"/>
        <v>0</v>
      </c>
    </row>
    <row r="502" spans="3:16" x14ac:dyDescent="0.3">
      <c r="C502" s="470" t="s">
        <v>780</v>
      </c>
      <c r="E502" s="482">
        <f ca="1">('B. Implementation Plan'!G493+'B. Implementation Plan'!G494)*(E487+E490+E493+E496+E499)</f>
        <v>0</v>
      </c>
      <c r="F502" s="482">
        <f ca="1">('B. Implementation Plan'!G493+'B. Implementation Plan'!G494)*(F487+F490+F493+F496+F499)</f>
        <v>0</v>
      </c>
      <c r="G502" s="482">
        <f ca="1">('B. Implementation Plan'!G493+'B. Implementation Plan'!G494)*(G487+G490+G493+G496+G499)</f>
        <v>0</v>
      </c>
      <c r="H502" s="482">
        <f ca="1">('B. Implementation Plan'!G493+'B. Implementation Plan'!G494)*(H487+H490+H493+H496+H499)</f>
        <v>0</v>
      </c>
      <c r="I502" s="482">
        <f ca="1">('B. Implementation Plan'!G493+'B. Implementation Plan'!G494)*(I487+I490+I493+I496+I499)</f>
        <v>0</v>
      </c>
      <c r="J502" s="482">
        <f ca="1">('B. Implementation Plan'!G493+'B. Implementation Plan'!G494)*(J487+J490+J493+J496+J499)</f>
        <v>0</v>
      </c>
      <c r="K502" s="482">
        <f ca="1">('B. Implementation Plan'!G493+'B. Implementation Plan'!G494)*(K487+K490+K493+K496+K499)</f>
        <v>0</v>
      </c>
      <c r="L502" s="482">
        <f ca="1">('B. Implementation Plan'!G493+'B. Implementation Plan'!G494)*(L487+L490+L493+L496+L499)</f>
        <v>0</v>
      </c>
      <c r="M502" s="482">
        <f ca="1">('B. Implementation Plan'!G493+'B. Implementation Plan'!G494)*(M487+M490+M493+M496+M499)</f>
        <v>0</v>
      </c>
      <c r="N502" s="482">
        <f ca="1">('B. Implementation Plan'!G493+'B. Implementation Plan'!G494)*(N487+N490+N493+N496+N499)</f>
        <v>0</v>
      </c>
      <c r="O502" s="482">
        <f ca="1">('B. Implementation Plan'!G493+'B. Implementation Plan'!G494)*(O487+O490+O493+O496+O499)</f>
        <v>0</v>
      </c>
      <c r="P502" s="488">
        <f t="shared" ca="1" si="264"/>
        <v>0</v>
      </c>
    </row>
    <row r="503" spans="3:16" x14ac:dyDescent="0.3">
      <c r="C503" s="470" t="s">
        <v>781</v>
      </c>
      <c r="E503" s="482">
        <f ca="1">('B. Implementation Plan'!G493+'B. Implementation Plan'!G494)*(E488+E491+E494+E497+E500)</f>
        <v>0</v>
      </c>
      <c r="F503" s="482">
        <f ca="1">('B. Implementation Plan'!G493+'B. Implementation Plan'!G494)*(F488+F491+F494+F497+F500)</f>
        <v>0</v>
      </c>
      <c r="G503" s="482">
        <f ca="1">('B. Implementation Plan'!G493+'B. Implementation Plan'!G494)*(G488+G491+G494+G497+G500)</f>
        <v>0</v>
      </c>
      <c r="H503" s="482">
        <f ca="1">('B. Implementation Plan'!G493+'B. Implementation Plan'!G494)*(H488+H491+H494+H497+H500)</f>
        <v>0</v>
      </c>
      <c r="I503" s="482">
        <f ca="1">('B. Implementation Plan'!G493+'B. Implementation Plan'!G494)*(I488+I491+I494+I497+I500)</f>
        <v>0</v>
      </c>
      <c r="J503" s="482">
        <f ca="1">('B. Implementation Plan'!G493+'B. Implementation Plan'!G494)*(J488+J491+J494+J497+J500)</f>
        <v>0</v>
      </c>
      <c r="K503" s="482">
        <f ca="1">('B. Implementation Plan'!G493+'B. Implementation Plan'!G494)*(K488+K491+K494+K497+K500)</f>
        <v>0</v>
      </c>
      <c r="L503" s="482">
        <f ca="1">('B. Implementation Plan'!G493+'B. Implementation Plan'!G494)*(L488+L491+L494+L497+L500)</f>
        <v>0</v>
      </c>
      <c r="M503" s="482">
        <f ca="1">('B. Implementation Plan'!G493+'B. Implementation Plan'!G494)*(M488+M491+M494+M497+M500)</f>
        <v>0</v>
      </c>
      <c r="N503" s="482">
        <f ca="1">('B. Implementation Plan'!G493+'B. Implementation Plan'!G494)*(N488+N491+N494+N497+N500)</f>
        <v>0</v>
      </c>
      <c r="O503" s="482">
        <f ca="1">('B. Implementation Plan'!G493+'B. Implementation Plan'!G494)*(O488+O491+O494+O497+O500)</f>
        <v>0</v>
      </c>
      <c r="P503" s="488">
        <f t="shared" ca="1" si="264"/>
        <v>0</v>
      </c>
    </row>
    <row r="504" spans="3:16" x14ac:dyDescent="0.3">
      <c r="C504" s="470" t="s">
        <v>782</v>
      </c>
      <c r="E504" s="482">
        <f ca="1">('B. Implementation Plan'!G493+'B. Implementation Plan'!G494)*(E489+E492+E495+E498+E501)</f>
        <v>0</v>
      </c>
      <c r="F504" s="482">
        <f ca="1">('B. Implementation Plan'!G493+'B. Implementation Plan'!G494)*(F489+F492+F495+F498+F501)</f>
        <v>0</v>
      </c>
      <c r="G504" s="482">
        <f ca="1">('B. Implementation Plan'!G493+'B. Implementation Plan'!G494)*(G489+G492+G495+G498+G501)</f>
        <v>0</v>
      </c>
      <c r="H504" s="482">
        <f ca="1">('B. Implementation Plan'!G493+'B. Implementation Plan'!G494)*(H489+H492+H495+H498+H501)</f>
        <v>0</v>
      </c>
      <c r="I504" s="482">
        <f ca="1">('B. Implementation Plan'!G493+'B. Implementation Plan'!G494)*(I489+I492+I495+I498+I501)</f>
        <v>0</v>
      </c>
      <c r="J504" s="482">
        <f ca="1">('B. Implementation Plan'!G493+'B. Implementation Plan'!G494)*(J489+J492+J495+J498+J501)</f>
        <v>0</v>
      </c>
      <c r="K504" s="482">
        <f ca="1">('B. Implementation Plan'!G493+'B. Implementation Plan'!G494)*(K489+K492+K495+K498+K501)</f>
        <v>0</v>
      </c>
      <c r="L504" s="482">
        <f ca="1">('B. Implementation Plan'!G493+'B. Implementation Plan'!G494)*(L489+L492+L495+L498+L501)</f>
        <v>0</v>
      </c>
      <c r="M504" s="482">
        <f ca="1">('B. Implementation Plan'!G493+'B. Implementation Plan'!G494)*(M489+M492+M495+M498+M501)</f>
        <v>0</v>
      </c>
      <c r="N504" s="482">
        <f ca="1">('B. Implementation Plan'!G493+'B. Implementation Plan'!G494)*(N489+N492+N495+N498+N501)</f>
        <v>0</v>
      </c>
      <c r="O504" s="482">
        <f ca="1">('B. Implementation Plan'!G493+'B. Implementation Plan'!G494)*(O489+O492+O495+O498+O501)</f>
        <v>0</v>
      </c>
      <c r="P504" s="488">
        <f t="shared" ca="1" si="264"/>
        <v>0</v>
      </c>
    </row>
    <row r="505" spans="3:16" s="1" customFormat="1" x14ac:dyDescent="0.3">
      <c r="C505" s="409" t="s">
        <v>783</v>
      </c>
      <c r="E505" s="486">
        <f ca="1">E487+E490+E493+E496+E499+E502</f>
        <v>0</v>
      </c>
      <c r="F505" s="486">
        <f t="shared" ref="F505:O505" ca="1" si="286">F487+F490+F493+F496+F499+F502</f>
        <v>0</v>
      </c>
      <c r="G505" s="486">
        <f t="shared" ca="1" si="286"/>
        <v>0</v>
      </c>
      <c r="H505" s="486">
        <f t="shared" ca="1" si="286"/>
        <v>0</v>
      </c>
      <c r="I505" s="486">
        <f t="shared" ca="1" si="286"/>
        <v>0</v>
      </c>
      <c r="J505" s="486">
        <f t="shared" ca="1" si="286"/>
        <v>0</v>
      </c>
      <c r="K505" s="486">
        <f t="shared" ca="1" si="286"/>
        <v>0</v>
      </c>
      <c r="L505" s="486">
        <f t="shared" ca="1" si="286"/>
        <v>0</v>
      </c>
      <c r="M505" s="486">
        <f t="shared" ca="1" si="286"/>
        <v>0</v>
      </c>
      <c r="N505" s="486">
        <f t="shared" ca="1" si="286"/>
        <v>0</v>
      </c>
      <c r="O505" s="486">
        <f t="shared" ca="1" si="286"/>
        <v>0</v>
      </c>
      <c r="P505" s="489">
        <f t="shared" ca="1" si="264"/>
        <v>0</v>
      </c>
    </row>
    <row r="506" spans="3:16" s="1" customFormat="1" x14ac:dyDescent="0.3">
      <c r="C506" s="409" t="s">
        <v>784</v>
      </c>
      <c r="E506" s="486">
        <f t="shared" ref="E506:O506" ca="1" si="287">E488+E491+E494+E497+E500+E503</f>
        <v>0</v>
      </c>
      <c r="F506" s="486">
        <f t="shared" ca="1" si="287"/>
        <v>0</v>
      </c>
      <c r="G506" s="486">
        <f t="shared" ca="1" si="287"/>
        <v>0</v>
      </c>
      <c r="H506" s="486">
        <f t="shared" ca="1" si="287"/>
        <v>0</v>
      </c>
      <c r="I506" s="486">
        <f t="shared" ca="1" si="287"/>
        <v>0</v>
      </c>
      <c r="J506" s="486">
        <f t="shared" ca="1" si="287"/>
        <v>0</v>
      </c>
      <c r="K506" s="486">
        <f t="shared" ca="1" si="287"/>
        <v>0</v>
      </c>
      <c r="L506" s="486">
        <f t="shared" ca="1" si="287"/>
        <v>0</v>
      </c>
      <c r="M506" s="486">
        <f t="shared" ca="1" si="287"/>
        <v>0</v>
      </c>
      <c r="N506" s="486">
        <f t="shared" ca="1" si="287"/>
        <v>0</v>
      </c>
      <c r="O506" s="486">
        <f t="shared" ca="1" si="287"/>
        <v>0</v>
      </c>
      <c r="P506" s="489">
        <f t="shared" ca="1" si="264"/>
        <v>0</v>
      </c>
    </row>
    <row r="507" spans="3:16" s="1" customFormat="1" x14ac:dyDescent="0.3">
      <c r="C507" s="409" t="s">
        <v>785</v>
      </c>
      <c r="E507" s="486">
        <f t="shared" ref="E507:O507" ca="1" si="288">E489+E492+E495+E498+E501+E504</f>
        <v>0</v>
      </c>
      <c r="F507" s="486">
        <f t="shared" ca="1" si="288"/>
        <v>0</v>
      </c>
      <c r="G507" s="486">
        <f t="shared" ca="1" si="288"/>
        <v>0</v>
      </c>
      <c r="H507" s="486">
        <f t="shared" ca="1" si="288"/>
        <v>0</v>
      </c>
      <c r="I507" s="486">
        <f t="shared" ca="1" si="288"/>
        <v>0</v>
      </c>
      <c r="J507" s="486">
        <f t="shared" ca="1" si="288"/>
        <v>0</v>
      </c>
      <c r="K507" s="486">
        <f t="shared" ca="1" si="288"/>
        <v>0</v>
      </c>
      <c r="L507" s="486">
        <f t="shared" ca="1" si="288"/>
        <v>0</v>
      </c>
      <c r="M507" s="486">
        <f t="shared" ca="1" si="288"/>
        <v>0</v>
      </c>
      <c r="N507" s="486">
        <f t="shared" ca="1" si="288"/>
        <v>0</v>
      </c>
      <c r="O507" s="486">
        <f t="shared" ca="1" si="288"/>
        <v>0</v>
      </c>
      <c r="P507" s="489">
        <f t="shared" ca="1" si="264"/>
        <v>0</v>
      </c>
    </row>
    <row r="508" spans="3:16" s="280" customFormat="1" ht="15.6" x14ac:dyDescent="0.3">
      <c r="C508" s="511" t="s">
        <v>787</v>
      </c>
      <c r="E508" s="509">
        <f t="shared" ref="E508:O508" ca="1" si="289">IFERROR(E505/(E362/E365*E357),0)</f>
        <v>0</v>
      </c>
      <c r="F508" s="509">
        <f t="shared" ca="1" si="289"/>
        <v>0</v>
      </c>
      <c r="G508" s="509">
        <f t="shared" ca="1" si="289"/>
        <v>0</v>
      </c>
      <c r="H508" s="509">
        <f t="shared" ca="1" si="289"/>
        <v>0</v>
      </c>
      <c r="I508" s="509">
        <f t="shared" ca="1" si="289"/>
        <v>0</v>
      </c>
      <c r="J508" s="509">
        <f t="shared" ca="1" si="289"/>
        <v>0</v>
      </c>
      <c r="K508" s="509">
        <f t="shared" ca="1" si="289"/>
        <v>0</v>
      </c>
      <c r="L508" s="509">
        <f t="shared" ca="1" si="289"/>
        <v>0</v>
      </c>
      <c r="M508" s="509">
        <f t="shared" ca="1" si="289"/>
        <v>0</v>
      </c>
      <c r="N508" s="509">
        <f t="shared" ca="1" si="289"/>
        <v>0</v>
      </c>
      <c r="O508" s="509">
        <f t="shared" ca="1" si="289"/>
        <v>0</v>
      </c>
      <c r="P508" s="512">
        <f t="shared" ca="1" si="264"/>
        <v>0</v>
      </c>
    </row>
    <row r="509" spans="3:16" s="280" customFormat="1" ht="15.6" x14ac:dyDescent="0.3">
      <c r="C509" s="511" t="s">
        <v>788</v>
      </c>
      <c r="E509" s="509">
        <f t="shared" ref="E509:O509" ca="1" si="290">IFERROR(E506/(E363/E365*E357),0)</f>
        <v>0</v>
      </c>
      <c r="F509" s="509">
        <f t="shared" ca="1" si="290"/>
        <v>0</v>
      </c>
      <c r="G509" s="509">
        <f t="shared" ca="1" si="290"/>
        <v>0</v>
      </c>
      <c r="H509" s="509">
        <f t="shared" ca="1" si="290"/>
        <v>0</v>
      </c>
      <c r="I509" s="509">
        <f t="shared" ca="1" si="290"/>
        <v>0</v>
      </c>
      <c r="J509" s="509">
        <f t="shared" ca="1" si="290"/>
        <v>0</v>
      </c>
      <c r="K509" s="509">
        <f t="shared" ca="1" si="290"/>
        <v>0</v>
      </c>
      <c r="L509" s="509">
        <f t="shared" ca="1" si="290"/>
        <v>0</v>
      </c>
      <c r="M509" s="509">
        <f t="shared" ca="1" si="290"/>
        <v>0</v>
      </c>
      <c r="N509" s="509">
        <f t="shared" ca="1" si="290"/>
        <v>0</v>
      </c>
      <c r="O509" s="509">
        <f t="shared" ca="1" si="290"/>
        <v>0</v>
      </c>
      <c r="P509" s="512">
        <f t="shared" ca="1" si="264"/>
        <v>0</v>
      </c>
    </row>
    <row r="510" spans="3:16" s="280" customFormat="1" ht="15.6" x14ac:dyDescent="0.3">
      <c r="C510" s="511" t="s">
        <v>789</v>
      </c>
      <c r="E510" s="509">
        <f t="shared" ref="E510:O510" ca="1" si="291">IFERROR(E507/(E364/E365*E357),0)</f>
        <v>0</v>
      </c>
      <c r="F510" s="509">
        <f t="shared" ca="1" si="291"/>
        <v>0</v>
      </c>
      <c r="G510" s="509">
        <f t="shared" ca="1" si="291"/>
        <v>0</v>
      </c>
      <c r="H510" s="509">
        <f t="shared" ca="1" si="291"/>
        <v>0</v>
      </c>
      <c r="I510" s="509">
        <f t="shared" ca="1" si="291"/>
        <v>0</v>
      </c>
      <c r="J510" s="509">
        <f t="shared" ca="1" si="291"/>
        <v>0</v>
      </c>
      <c r="K510" s="509">
        <f t="shared" ca="1" si="291"/>
        <v>0</v>
      </c>
      <c r="L510" s="509">
        <f t="shared" ca="1" si="291"/>
        <v>0</v>
      </c>
      <c r="M510" s="509">
        <f t="shared" ca="1" si="291"/>
        <v>0</v>
      </c>
      <c r="N510" s="509">
        <f t="shared" ca="1" si="291"/>
        <v>0</v>
      </c>
      <c r="O510" s="509">
        <f t="shared" ca="1" si="291"/>
        <v>0</v>
      </c>
      <c r="P510" s="512">
        <f t="shared" ca="1" si="264"/>
        <v>0</v>
      </c>
    </row>
  </sheetData>
  <mergeCells count="3">
    <mergeCell ref="E3:O3"/>
    <mergeCell ref="E5:O5"/>
    <mergeCell ref="E4:O4"/>
  </mergeCells>
  <pageMargins left="0.7" right="0.7" top="0.75" bottom="0.75" header="0.3" footer="0.3"/>
  <pageSetup scale="41" orientation="portrait"/>
  <rowBreaks count="1" manualBreakCount="1">
    <brk id="166" max="16383" man="1"/>
  </rowBreaks>
  <ignoredErrors>
    <ignoredError sqref="P121"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C10" sqref="C10"/>
    </sheetView>
  </sheetViews>
  <sheetFormatPr defaultColWidth="8.77734375" defaultRowHeight="14.4" x14ac:dyDescent="0.3"/>
  <sheetData>
    <row r="2" spans="2:2" x14ac:dyDescent="0.3">
      <c r="B2" s="290" t="s">
        <v>1029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35</vt:i4>
      </vt:variant>
    </vt:vector>
  </HeadingPairs>
  <TitlesOfParts>
    <vt:vector size="43" baseType="lpstr">
      <vt:lpstr>Cover Sheet</vt:lpstr>
      <vt:lpstr>A. Summary Outputs &amp; Index</vt:lpstr>
      <vt:lpstr>B. Implementation Plan</vt:lpstr>
      <vt:lpstr>C. Demographic Tables</vt:lpstr>
      <vt:lpstr>D. Annual Schedule Tables</vt:lpstr>
      <vt:lpstr>E. State-Level Infrastr&amp;Support</vt:lpstr>
      <vt:lpstr>F. Provider-Level Services</vt:lpstr>
      <vt:lpstr>Blank Worksheet</vt:lpstr>
      <vt:lpstr>'A. Summary Outputs &amp; Index'!Print_Area</vt:lpstr>
      <vt:lpstr>'B. Implementation Plan'!Print_Area</vt:lpstr>
      <vt:lpstr>'D. Annual Schedule Tables'!Print_Area</vt:lpstr>
      <vt:lpstr>'E. State-Level Infrastr&amp;Support'!Print_Area</vt:lpstr>
      <vt:lpstr>'B. Implementation Plan'!Print_Titles</vt:lpstr>
      <vt:lpstr>TableB1</vt:lpstr>
      <vt:lpstr>TableB2.a.1</vt:lpstr>
      <vt:lpstr>TableB2.a.2</vt:lpstr>
      <vt:lpstr>TableB2.b</vt:lpstr>
      <vt:lpstr>TableB2.b.1</vt:lpstr>
      <vt:lpstr>TableB2.b.10</vt:lpstr>
      <vt:lpstr>TableB2.b.2</vt:lpstr>
      <vt:lpstr>TableB2.b.3</vt:lpstr>
      <vt:lpstr>TableB2.b.4</vt:lpstr>
      <vt:lpstr>TableB2.b.5</vt:lpstr>
      <vt:lpstr>TableB2.b.6</vt:lpstr>
      <vt:lpstr>TableB2.b.7</vt:lpstr>
      <vt:lpstr>TableB2.b.8</vt:lpstr>
      <vt:lpstr>TableB2.b.9</vt:lpstr>
      <vt:lpstr>TableB2.c</vt:lpstr>
      <vt:lpstr>TableB2.c.1</vt:lpstr>
      <vt:lpstr>TableB2.c.10</vt:lpstr>
      <vt:lpstr>TableB2.c.2</vt:lpstr>
      <vt:lpstr>TableB2.c.3</vt:lpstr>
      <vt:lpstr>TableB2.c.4</vt:lpstr>
      <vt:lpstr>TableB2.c.5</vt:lpstr>
      <vt:lpstr>TableB2.c.6</vt:lpstr>
      <vt:lpstr>TableB2.c.7</vt:lpstr>
      <vt:lpstr>TableB2.c.8</vt:lpstr>
      <vt:lpstr>TableB2.c.9</vt:lpstr>
      <vt:lpstr>TableB2.d</vt:lpstr>
      <vt:lpstr>TableB2.d.1</vt:lpstr>
      <vt:lpstr>TableB2.d.2</vt:lpstr>
      <vt:lpstr>TableB2.d.3</vt:lpstr>
      <vt:lpstr>TableB2.d.4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Cory Curl</cp:lastModifiedBy>
  <cp:lastPrinted>2016-06-09T14:56:07Z</cp:lastPrinted>
  <dcterms:created xsi:type="dcterms:W3CDTF">2015-06-25T16:18:35Z</dcterms:created>
  <dcterms:modified xsi:type="dcterms:W3CDTF">2017-11-14T15:03:02Z</dcterms:modified>
</cp:coreProperties>
</file>